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4RVDs+uYKY/ilb41Jn5JfdEHG4CQY7ewU70LnCb8s9fUh3MPwd8a9Bayyje1dzsJ3ND77SyiJscX2/DaaPh8iA==" workbookSaltValue="T1i3LvwGwnws+lPHpPXEa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I15" i="11"/>
  <c r="BG15" i="11"/>
  <c r="AP17" i="20"/>
  <c r="BU10" i="17"/>
  <c r="BW11" i="20"/>
  <c r="BU16" i="17"/>
  <c r="T13" i="16"/>
  <c r="AZ12" i="11"/>
  <c r="BH10" i="11"/>
  <c r="BH10" i="16"/>
  <c r="BF15" i="11"/>
  <c r="AQ12" i="21"/>
  <c r="BJ16" i="11"/>
  <c r="BL16" i="11"/>
  <c r="T13" i="20"/>
  <c r="BF15" i="8"/>
  <c r="BF9" i="8"/>
  <c r="L10" i="2"/>
  <c r="AU18" i="21"/>
  <c r="AH13" i="16"/>
  <c r="L15" i="2"/>
  <c r="L16" i="2"/>
  <c r="X10" i="21"/>
  <c r="U9" i="17"/>
  <c r="U19" i="17" s="1"/>
  <c r="L9" i="2"/>
  <c r="AP13" i="16"/>
  <c r="V9" i="16"/>
  <c r="T18" i="17"/>
  <c r="BG15" i="13"/>
  <c r="BE16" i="13"/>
  <c r="BE15" i="13"/>
  <c r="AX20" i="20"/>
  <c r="S19" i="8" l="1"/>
  <c r="C13" i="7"/>
  <c r="BG10" i="8"/>
  <c r="V11" i="11"/>
  <c r="BL17" i="11"/>
  <c r="BH17" i="16"/>
  <c r="T9" i="11"/>
  <c r="V10" i="16"/>
  <c r="X15" i="16"/>
  <c r="X18" i="16" s="1"/>
  <c r="L17" i="2"/>
  <c r="L12" i="2"/>
  <c r="S16" i="17"/>
  <c r="S15" i="17"/>
  <c r="BK10" i="11"/>
  <c r="BH12" i="16"/>
  <c r="BH16" i="11"/>
  <c r="BM17" i="11"/>
  <c r="AQ10" i="21"/>
  <c r="BG12" i="11"/>
  <c r="BW10" i="20"/>
  <c r="BW12" i="20"/>
  <c r="BU11" i="17"/>
  <c r="BK17" i="11"/>
  <c r="BJ12" i="11"/>
  <c r="BM12" i="11"/>
  <c r="BF10" i="11"/>
  <c r="BM16" i="11"/>
  <c r="BH11" i="16"/>
  <c r="AL16" i="11"/>
  <c r="C16" i="6"/>
  <c r="BE9" i="13"/>
  <c r="BM9" i="11"/>
  <c r="S17" i="17"/>
  <c r="BG16"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W20" i="21"/>
  <c r="AZ20" i="20"/>
  <c r="J20" i="20"/>
  <c r="R20" i="20"/>
  <c r="U10" i="11"/>
  <c r="U16" i="11"/>
  <c r="AM20" i="20"/>
  <c r="G13" i="14"/>
  <c r="X20" i="20"/>
  <c r="P20" i="20"/>
  <c r="L20" i="20"/>
  <c r="AN20" i="20"/>
  <c r="M20" i="20"/>
  <c r="AO20" i="20"/>
  <c r="AA20" i="20"/>
  <c r="T20" i="21"/>
  <c r="N20" i="20"/>
  <c r="G18" i="14"/>
  <c r="AJ20" i="20"/>
  <c r="I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<sst xmlns="http://schemas.openxmlformats.org/spreadsheetml/2006/main" count="2088" uniqueCount="918">
  <si>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</si>
  <si>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</si>
  <si>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</si>
  <si>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</si>
  <si>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</si>
  <si>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</si>
  <si>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</si>
  <si>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</si>
  <si>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</si>
  <si>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</si>
  <si>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</si>
  <si>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</si>
  <si>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</si>
  <si>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</si>
  <si>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</si>
  <si>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</si>
  <si>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</si>
  <si>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</si>
  <si>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</si>
  <si>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</si>
  <si>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</si>
  <si>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</si>
  <si>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</si>
  <si>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</si>
  <si>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</si>
  <si>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</si>
  <si>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</si>
  <si>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</si>
  <si>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</si>
  <si>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</si>
  <si>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</si>
  <si>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</si>
  <si>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</si>
  <si>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</si>
  <si>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</si>
  <si>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</si>
  <si>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</si>
  <si>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</si>
  <si>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</si>
  <si>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</si>
  <si>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</si>
  <si>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</si>
  <si>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</si>
  <si>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</si>
  <si>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</si>
  <si>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</si>
  <si>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</si>
  <si>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</si>
  <si>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</si>
  <si>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</si>
  <si>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</si>
  <si>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</si>
  <si>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</si>
  <si>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</si>
  <si>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</si>
  <si>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</si>
  <si>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</si>
  <si>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</si>
  <si>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</si>
  <si>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</si>
  <si>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</si>
  <si>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</si>
  <si>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</si>
  <si>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</si>
  <si>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</si>
  <si>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</si>
  <si>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</si>
  <si>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</si>
  <si>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</si>
  <si>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</si>
  <si>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</si>
  <si>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</si>
  <si>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</si>
  <si>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</si>
  <si>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</si>
  <si>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</si>
  <si>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</si>
  <si>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</si>
  <si>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</si>
  <si>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</si>
  <si>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</si>
  <si>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</si>
  <si>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</si>
  <si>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</si>
  <si>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</si>
  <si>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</si>
  <si>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</si>
  <si>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</si>
  <si>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</si>
  <si>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</si>
  <si>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</si>
  <si>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</si>
  <si>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</si>
  <si>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</si>
  <si>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</si>
  <si>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</si>
  <si>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</si>
  <si>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</si>
  <si>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</si>
  <si>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</si>
  <si>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</si>
  <si>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</si>
  <si>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</si>
  <si>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</si>
  <si>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</si>
  <si>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</si>
  <si>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</si>
  <si>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</si>
  <si>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</si>
  <si>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</si>
  <si>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</si>
  <si>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</si>
  <si>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</si>
  <si>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</si>
  <si>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</si>
  <si>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</si>
  <si>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</si>
  <si>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</si>
  <si>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</si>
  <si>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</si>
  <si>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</si>
  <si>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</si>
  <si>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</si>
  <si>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</si>
  <si>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</si>
  <si>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</si>
  <si>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</si>
  <si>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</si>
  <si>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</si>
  <si>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</si>
  <si>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</si>
  <si>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</si>
  <si>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</si>
  <si>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</si>
  <si>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</si>
  <si>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</si>
  <si>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</si>
  <si>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</si>
  <si>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</si>
  <si>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</si>
  <si>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</si>
  <si>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</si>
  <si>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</si>
  <si>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</si>
  <si>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</si>
  <si>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</si>
  <si>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</si>
  <si>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</si>
  <si>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</si>
  <si>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</si>
  <si>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</si>
  <si>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</si>
  <si>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</si>
  <si>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</si>
  <si>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</si>
  <si>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</si>
  <si>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</si>
  <si>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</si>
  <si>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</si>
  <si>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</si>
  <si>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</si>
  <si>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</si>
  <si>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</si>
  <si>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</si>
  <si>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</si>
  <si>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</si>
  <si>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</si>
  <si>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</si>
  <si>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</si>
  <si>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</si>
  <si>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</si>
  <si>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</si>
  <si>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</si>
  <si>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</si>
  <si>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</si>
  <si>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</si>
  <si>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</si>
  <si>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</si>
  <si>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</si>
  <si>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</si>
  <si>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</si>
  <si>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</si>
  <si>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</si>
  <si>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</si>
  <si>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</si>
  <si>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</si>
  <si>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</si>
  <si>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</si>
  <si>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</si>
  <si>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</si>
  <si>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</si>
  <si>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</si>
  <si>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</si>
  <si>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</si>
  <si>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</si>
  <si>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</si>
  <si>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</si>
  <si>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</si>
  <si>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</si>
  <si>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</si>
  <si>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</si>
  <si>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</si>
  <si>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</si>
  <si>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</si>
  <si>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</si>
  <si>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</si>
  <si>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</si>
  <si>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</si>
  <si>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</si>
  <si>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</si>
  <si>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</si>
  <si>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</si>
  <si>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</si>
  <si>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</si>
  <si>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</si>
  <si>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</si>
  <si>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</si>
  <si>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</si>
  <si>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</si>
  <si>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</si>
  <si>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</si>
  <si>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</si>
  <si>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</si>
  <si>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</si>
  <si>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</si>
  <si>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</si>
  <si>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</si>
  <si>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</si>
  <si>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</si>
  <si>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</si>
  <si>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</si>
  <si>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</si>
  <si>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</si>
  <si>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</si>
  <si>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</si>
  <si>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</si>
  <si>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</si>
  <si>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</si>
  <si>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</si>
  <si>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</si>
  <si>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</si>
  <si>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</si>
  <si>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</si>
  <si>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</si>
  <si>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</si>
  <si>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</si>
  <si>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</si>
  <si>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</si>
  <si>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</si>
  <si>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</si>
  <si>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</si>
  <si>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</si>
  <si>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</si>
  <si>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</si>
  <si>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</si>
  <si>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</si>
  <si>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</si>
  <si>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</si>
  <si>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</si>
  <si>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</si>
  <si>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</si>
  <si>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</si>
  <si>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</si>
  <si>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</si>
  <si>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</si>
  <si>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</si>
  <si>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</si>
  <si>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</si>
  <si>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</si>
  <si>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</si>
  <si>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</si>
  <si>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</si>
  <si>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</si>
  <si>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</si>
  <si>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</si>
  <si>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</si>
  <si>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</si>
  <si>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</si>
  <si>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</si>
  <si>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</si>
  <si>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</si>
  <si>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</si>
  <si>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</si>
  <si>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</si>
  <si>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</si>
  <si>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</si>
  <si>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</si>
  <si>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</si>
  <si>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</si>
  <si>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</si>
  <si>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</si>
  <si>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</si>
  <si>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</si>
  <si>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</si>
  <si>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</si>
  <si>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</si>
  <si>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</si>
  <si>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</si>
  <si>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</si>
  <si>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</si>
  <si>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</si>
  <si>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</si>
  <si>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</si>
  <si>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</si>
  <si>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</si>
  <si>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</si>
  <si>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</si>
  <si>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</si>
  <si>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</si>
  <si>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</si>
  <si>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</si>
  <si>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</si>
  <si>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</si>
  <si>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</si>
  <si>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</si>
  <si>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</si>
  <si>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</si>
  <si>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</si>
  <si>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</si>
  <si>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</si>
  <si>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</si>
  <si>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</si>
  <si>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</si>
  <si>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</si>
  <si>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</si>
  <si>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</si>
  <si>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</si>
  <si>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</si>
  <si>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</si>
  <si>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</si>
  <si>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</si>
  <si>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</si>
  <si>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</si>
  <si>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</si>
  <si>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</si>
  <si>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</si>
  <si>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</si>
  <si>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</si>
  <si>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</si>
  <si>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</si>
  <si>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</si>
  <si>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</si>
  <si>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</si>
  <si>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</si>
  <si>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</si>
  <si>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</si>
  <si>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</si>
  <si>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</si>
  <si>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</si>
  <si>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</si>
  <si>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</si>
  <si>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</si>
  <si>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</si>
  <si>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</si>
  <si>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</si>
  <si>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</si>
  <si>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</si>
  <si>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</si>
  <si>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</si>
  <si>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</si>
  <si>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</si>
  <si>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</si>
  <si>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</si>
  <si>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</si>
  <si>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</si>
  <si>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</si>
  <si>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</si>
  <si>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</si>
  <si>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</si>
  <si>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</si>
  <si>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</si>
  <si>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</si>
  <si>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</si>
  <si>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</si>
  <si>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</si>
  <si>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</si>
  <si>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</si>
  <si>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</si>
  <si>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</si>
  <si>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</si>
  <si>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</si>
  <si>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</si>
  <si>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</si>
  <si>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</si>
  <si>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</si>
  <si>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</si>
  <si>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</si>
  <si>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</si>
  <si>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</si>
  <si>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</si>
  <si>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</si>
  <si>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</si>
  <si>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</si>
  <si>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</si>
  <si>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</si>
  <si>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</si>
  <si>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</si>
  <si>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</si>
  <si>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</si>
  <si>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</si>
  <si>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</si>
  <si>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</si>
  <si>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</si>
  <si>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</si>
  <si>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</si>
  <si>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</si>
  <si>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</si>
  <si>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</si>
  <si>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</si>
  <si>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</si>
  <si>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</si>
  <si>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</si>
  <si>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</si>
  <si>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</si>
  <si>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</si>
  <si>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</si>
  <si>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</si>
  <si>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</si>
  <si>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</si>
  <si>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</si>
  <si>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</si>
  <si>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</si>
  <si>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</si>
  <si>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</si>
  <si>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</si>
  <si>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</si>
  <si>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</si>
  <si>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</si>
  <si>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</si>
  <si>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</si>
  <si>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</si>
  <si>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</si>
  <si>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</si>
  <si>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</si>
  <si>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</si>
  <si>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</si>
  <si>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</si>
  <si>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</si>
  <si>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</si>
  <si>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</si>
  <si>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</si>
  <si>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</si>
  <si>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</si>
  <si>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</si>
  <si>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</si>
  <si>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</si>
  <si>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</si>
  <si>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</si>
  <si>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</si>
  <si>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</si>
  <si>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</si>
  <si>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</si>
  <si>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</si>
  <si>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</si>
  <si>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</si>
  <si>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</si>
  <si>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</si>
  <si>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</si>
  <si>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</si>
  <si>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</si>
  <si>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</si>
  <si>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</si>
  <si>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</si>
  <si>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</si>
  <si>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</si>
  <si>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</si>
  <si>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</si>
  <si>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</si>
  <si>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</si>
  <si>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</si>
  <si>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</si>
  <si>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</si>
  <si>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</si>
  <si>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</si>
  <si>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</si>
  <si>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</si>
  <si>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</si>
  <si>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</si>
  <si>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</si>
  <si>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</si>
  <si>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</si>
  <si>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</si>
  <si>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</si>
  <si>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</si>
  <si>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</si>
  <si>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</si>
  <si>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</si>
  <si>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</si>
  <si>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</si>
  <si>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</si>
  <si>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</si>
  <si>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</si>
  <si>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</si>
  <si>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</si>
  <si>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</si>
  <si>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</si>
  <si>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</si>
  <si>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</si>
  <si>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</si>
  <si>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</si>
  <si>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</si>
  <si>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</si>
  <si>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</si>
  <si>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</si>
  <si>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</si>
  <si>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</si>
  <si>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</si>
  <si>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</si>
  <si>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</si>
  <si>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</si>
  <si>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</si>
  <si>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</si>
  <si>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</si>
  <si>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</si>
  <si>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</si>
  <si>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</si>
  <si>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</si>
  <si>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</si>
  <si>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</si>
  <si>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</si>
  <si>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</si>
  <si>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</si>
  <si>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</si>
  <si>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</si>
  <si>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</si>
  <si>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</si>
  <si>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</si>
  <si>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</si>
  <si>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</si>
  <si>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</si>
  <si>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</si>
  <si>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</si>
  <si>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</si>
  <si>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</si>
  <si>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</si>
  <si>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</si>
  <si>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</si>
  <si>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</si>
  <si>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</si>
  <si>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</si>
  <si>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</si>
  <si>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</si>
  <si>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</si>
  <si>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</si>
  <si>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</si>
  <si>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</si>
  <si>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</si>
  <si>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</si>
  <si>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</si>
  <si>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</si>
  <si>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</si>
  <si>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</si>
  <si>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</si>
  <si>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</si>
  <si>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</si>
  <si>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</si>
  <si>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</si>
  <si>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</si>
  <si>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</si>
  <si>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</si>
  <si>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</si>
  <si>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</si>
  <si>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</si>
  <si>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</si>
  <si>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</si>
  <si>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</si>
  <si>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</si>
  <si>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</si>
  <si>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</si>
  <si>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</si>
  <si>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</si>
  <si>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</si>
  <si>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</si>
  <si>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</si>
  <si>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</si>
  <si>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</si>
  <si>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</si>
  <si>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</si>
  <si>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</si>
  <si>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</si>
  <si>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</si>
  <si>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</si>
  <si>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</si>
  <si>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</si>
  <si>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</si>
  <si>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</si>
  <si>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</si>
  <si>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</si>
  <si>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</si>
  <si>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</si>
  <si>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</si>
  <si>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</si>
  <si>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</si>
  <si>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</si>
  <si>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</si>
  <si>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</si>
  <si>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</si>
  <si>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</si>
  <si>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</si>
  <si>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</si>
  <si>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</si>
  <si>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</si>
  <si>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</si>
  <si>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</si>
  <si>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</si>
  <si>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</si>
  <si>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</si>
  <si>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</si>
  <si>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</si>
  <si>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</si>
  <si>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</si>
  <si>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</si>
  <si>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</si>
  <si>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</si>
  <si>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</si>
  <si>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</si>
  <si>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</si>
  <si>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</si>
  <si>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</si>
  <si>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</si>
  <si>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</si>
  <si>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</si>
  <si>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</si>
  <si>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</si>
  <si>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</si>
  <si>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</si>
  <si>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</si>
  <si>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</si>
  <si>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</si>
  <si>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</si>
  <si>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</si>
  <si>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</si>
  <si>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</si>
  <si>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</si>
  <si>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</si>
  <si>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</si>
  <si>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</si>
  <si>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</si>
  <si>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</si>
  <si>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</si>
  <si>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</si>
  <si>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</si>
  <si>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</si>
  <si>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</si>
  <si>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</si>
  <si>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</si>
  <si>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</si>
  <si>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</si>
  <si>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</si>
  <si>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</si>
  <si>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</si>
  <si>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</si>
  <si>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</si>
  <si>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</si>
  <si>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</si>
  <si>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</si>
  <si>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</si>
  <si>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</si>
  <si>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</si>
  <si>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</si>
  <si>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</si>
  <si>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</si>
  <si>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</si>
  <si>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</si>
  <si>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</si>
  <si>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</si>
  <si>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</si>
  <si>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</si>
  <si>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</si>
  <si>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</si>
  <si>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</si>
  <si>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</si>
  <si>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</si>
  <si>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</si>
  <si>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</si>
  <si>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</si>
  <si>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</si>
  <si>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</si>
  <si>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</si>
  <si>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</si>
  <si>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</si>
  <si>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</si>
  <si>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</si>
  <si>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</si>
  <si>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</si>
  <si>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</si>
  <si>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</si>
  <si>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</si>
  <si>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</si>
  <si>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</si>
  <si>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</si>
  <si>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</si>
  <si>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</si>
  <si>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</si>
  <si>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</si>
  <si>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</si>
  <si>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</si>
  <si>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</si>
  <si>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</si>
  <si>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</si>
  <si>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</si>
  <si>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</si>
  <si>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</si>
  <si>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</si>
  <si>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</si>
  <si>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</si>
  <si>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</si>
  <si>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</si>
  <si>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</si>
  <si>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</si>
  <si>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</si>
  <si>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</si>
  <si>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</si>
  <si>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</si>
  <si>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</si>
  <si>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</si>
  <si>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</si>
  <si>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</si>
  <si>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</si>
  <si>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</si>
  <si>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</si>
  <si>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</si>
  <si>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</si>
  <si>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</si>
  <si>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</si>
  <si>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</si>
  <si>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</si>
  <si>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</si>
  <si>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</si>
  <si>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</si>
  <si>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</si>
  <si>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</si>
  <si>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</si>
  <si>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</si>
  <si>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</si>
  <si>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</si>
  <si>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</si>
  <si>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</si>
  <si>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</si>
  <si>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</si>
  <si>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</si>
  <si>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</si>
  <si>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</si>
  <si>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</si>
  <si>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</si>
  <si>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</si>
  <si>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</si>
  <si>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</si>
  <si>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</si>
  <si>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</si>
  <si>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</si>
  <si>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</si>
  <si>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</si>
  <si>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</si>
  <si>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</si>
  <si>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</si>
  <si>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</si>
  <si>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</si>
  <si>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</si>
  <si>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</si>
  <si>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</si>
  <si>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</si>
  <si>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</si>
  <si>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</si>
  <si>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</si>
  <si>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</si>
  <si>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</si>
  <si>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</si>
  <si>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</si>
  <si>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</si>
  <si>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</si>
  <si>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</si>
  <si>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</si>
  <si>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</si>
  <si>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</si>
  <si>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</si>
  <si>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</si>
  <si>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</si>
  <si>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</si>
  <si>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</si>
  <si>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</si>
  <si>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</si>
  <si>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</si>
  <si>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</si>
  <si>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</si>
  <si>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</si>
  <si>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</si>
  <si>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</si>
  <si>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</si>
  <si>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</si>
  <si>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</si>
  <si>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</si>
  <si>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</si>
  <si>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</si>
  <si>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</si>
  <si>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</si>
  <si>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</si>
  <si>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</si>
  <si>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</si>
  <si>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</si>
  <si>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</si>
  <si>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</si>
  <si>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</si>
  <si>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</si>
  <si>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</si>
  <si>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</si>
  <si>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</si>
  <si>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</si>
  <si>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</si>
  <si>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</si>
  <si>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</si>
  <si>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</si>
  <si>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</si>
  <si>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</si>
  <si>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</si>
  <si>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</si>
  <si>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</si>
  <si>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</si>
  <si>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</si>
  <si>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</si>
  <si>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</si>
  <si>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</si>
  <si>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</si>
  <si>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</si>
  <si>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</si>
  <si>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</si>
  <si>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</si>
  <si>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</si>
  <si>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</si>
  <si>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</si>
  <si>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</si>
  <si>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</si>
  <si>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</si>
  <si>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</si>
  <si>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</si>
  <si>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</si>
  <si>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</si>
  <si>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</si>
  <si>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</si>
  <si>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</si>
  <si>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</si>
  <si>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</si>
  <si>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</si>
  <si>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</si>
  <si>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</si>
  <si>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</si>
  <si>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</si>
  <si>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</si>
  <si>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</si>
  <si>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</si>
  <si>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</si>
  <si>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</si>
  <si>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</si>
  <si>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</si>
  <si>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</si>
  <si>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</si>
  <si>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</si>
  <si>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</si>
  <si>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</si>
  <si>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</si>
  <si>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</si>
  <si>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</si>
  <si>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</si>
  <si>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</si>
  <si>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</si>
  <si>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</si>
  <si>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</si>
  <si>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</si>
  <si>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</si>
  <si>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</si>
  <si>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</si>
  <si>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</si>
  <si>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</si>
  <si>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</si>
  <si>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</si>
  <si>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</si>
  <si>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</si>
  <si>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</si>
  <si>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</si>
  <si>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</si>
  <si>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</si>
  <si>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</si>
  <si>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</si>
  <si>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</si>
  <si>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</si>
  <si>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</si>
  <si>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</si>
  <si>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</si>
  <si>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</si>
  <si>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</si>
  <si>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</si>
  <si>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</si>
  <si>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</si>
  <si>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</si>
  <si>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</si>
  <si>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</si>
  <si>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</si>
  <si>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</si>
  <si>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</si>
  <si>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</si>
  <si>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</si>
  <si>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</si>
  <si>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</si>
  <si>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</si>
  <si>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</si>
  <si>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</si>
  <si>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</si>
  <si>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</si>
  <si>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</si>
  <si>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</si>
  <si>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</si>
  <si>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</si>
  <si>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</si>
  <si>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</si>
  <si>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</si>
  <si>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</si>
  <si>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</si>
  <si>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ALGECIRAS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</si>
</sst>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bUl6lm1UdaKlMPS5NwV5LKCaAM0/RQT0Y+c4vpElBYkLYv1Gr7W6Xqt+c+1DaBMD+9zc/5BQvw0+k0d5zxDQ==" saltValue="joBX0TZRtM15TOv0pdpi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ALGECIRAS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4</v>
      </c>
      <c r="C9" s="403">
        <f>IF(ISNUMBER(IF(J_V="SI",Datos!I9,Datos!I9+Datos!Y9)),IF(J_V="SI",Datos!I9,Datos!I9+Datos!Y9)," - ")</f>
        <v>5512</v>
      </c>
      <c r="D9" s="404">
        <f>IF(ISNUMBER(C9/Datos!BH9),C9/Datos!BH9," - ")</f>
        <v>1378</v>
      </c>
      <c r="E9" s="403">
        <f>IF(ISNUMBER(IF(J_V="SI",Datos!J9,Datos!J9+Datos!Z9)),IF(J_V="SI",Datos!J9,Datos!J9+Datos!Z9)," - ")</f>
        <v>2114</v>
      </c>
      <c r="F9" s="404">
        <f>IF(ISNUMBER(E9/B9),E9/B9," - ")</f>
        <v>528.5</v>
      </c>
      <c r="G9" s="403">
        <f>IF(ISNUMBER(IF(J_V="SI",Datos!K9,Datos!K9+Datos!AA9)),IF(J_V="SI",Datos!K9,Datos!K9+Datos!AA9)," - ")</f>
        <v>1917</v>
      </c>
      <c r="H9" s="404">
        <f>IF(ISNUMBER(G9/B9),G9/B9," - ")</f>
        <v>479.25</v>
      </c>
      <c r="I9" s="403">
        <f>IF(ISNUMBER(IF(J_V="SI",Datos!L9,Datos!L9+Datos!AB9)),IF(J_V="SI",Datos!L9,Datos!L9+Datos!AB9)," - ")</f>
        <v>5710</v>
      </c>
      <c r="J9" s="404">
        <f>IF(ISNUMBER(I9/B9),I9/B9," - ")</f>
        <v>1427.5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150</v>
      </c>
      <c r="D10" s="404">
        <f>IF(ISNUMBER(C10/Datos!BH10),C10/Datos!BH10," - ")</f>
        <v>150</v>
      </c>
      <c r="E10" s="403">
        <f>IF(ISNUMBER(Datos!J10),Datos!J10," - ")</f>
        <v>51</v>
      </c>
      <c r="F10" s="404">
        <f>IF(ISNUMBER(E10/B10),E10/B10," - ")</f>
        <v>51</v>
      </c>
      <c r="G10" s="403">
        <f>IF(ISNUMBER(Datos!K10),Datos!K10," - ")</f>
        <v>44</v>
      </c>
      <c r="H10" s="404">
        <f>IF(ISNUMBER(G10/B10),G10/B10," - ")</f>
        <v>44</v>
      </c>
      <c r="I10" s="403">
        <f>IF(ISNUMBER(Datos!L10),Datos!L10," - ")</f>
        <v>157</v>
      </c>
      <c r="J10" s="404">
        <f>IF(ISNUMBER(I10/B10),I10/B10," - ")</f>
        <v>157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818</v>
      </c>
      <c r="D11" s="404">
        <f>IF(ISNUMBER(C11/Datos!BH11),C11/Datos!BH11," - ")</f>
        <v>818</v>
      </c>
      <c r="E11" s="403">
        <f>IF(ISNUMBER(IF(J_V="SI",Datos!J11,Datos!J11+Datos!Z11)),IF(J_V="SI",Datos!J11,Datos!J11+Datos!Z11)," - ")</f>
        <v>298</v>
      </c>
      <c r="F11" s="404">
        <f>IF(ISNUMBER(E11/B11),E11/B11," - ")</f>
        <v>298</v>
      </c>
      <c r="G11" s="403">
        <f>IF(ISNUMBER(IF(J_V="SI",Datos!K11,Datos!K11+Datos!AA11)),IF(J_V="SI",Datos!K11,Datos!K11+Datos!AA11)," - ")</f>
        <v>266</v>
      </c>
      <c r="H11" s="404">
        <f>IF(ISNUMBER(G11/B11),G11/B11," - ")</f>
        <v>266</v>
      </c>
      <c r="I11" s="403">
        <f>IF(ISNUMBER(IF(J_V="SI",Datos!L11,Datos!L11+Datos!AB11)),IF(J_V="SI",Datos!L11,Datos!L11+Datos!AB11)," - ")</f>
        <v>850</v>
      </c>
      <c r="J11" s="404">
        <f>IF(ISNUMBER(I11/B11),I11/B11," - ")</f>
        <v>850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6480</v>
      </c>
      <c r="D13" s="850" t="str">
        <f>IF(ISNUMBER(C13/Datos!BI13),C13/Datos!BI13," - ")</f>
        <v xml:space="preserve"> - </v>
      </c>
      <c r="E13" s="849">
        <f>SUBTOTAL(9,E8:E12)</f>
        <v>2463</v>
      </c>
      <c r="F13" s="850">
        <f>IF(ISNUMBER(E13/B13),E13/B13," - ")</f>
        <v>410.5</v>
      </c>
      <c r="G13" s="849">
        <f>SUBTOTAL(9,G8:G12)</f>
        <v>2227</v>
      </c>
      <c r="H13" s="850">
        <f>IF(ISNUMBER(G13/B13),G13/B13," - ")</f>
        <v>371.16666666666669</v>
      </c>
      <c r="I13" s="849">
        <f>SUBTOTAL(9,I8:I12)</f>
        <v>6717</v>
      </c>
      <c r="J13" s="850">
        <f>IF(ISNUMBER(I13/B13),I13/B13," - ")</f>
        <v>1119.5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2059</v>
      </c>
      <c r="D15" s="404">
        <f>IF(ISNUMBER(C15/Datos!BH15),C15/Datos!BH15," - ")</f>
        <v>411.8</v>
      </c>
      <c r="E15" s="403">
        <f>IF(ISNUMBER(IF(D_I="SI",Datos!J15,Datos!J15+Datos!AD15)),IF(D_I="SI",Datos!J15,Datos!J15+Datos!AD15)," - ")</f>
        <v>1881</v>
      </c>
      <c r="F15" s="404">
        <f>IF(ISNUMBER(E15/B15),E15/B15," - ")</f>
        <v>376.2</v>
      </c>
      <c r="G15" s="403">
        <f>IF(ISNUMBER(IF(D_I="SI",Datos!K15,Datos!K15+Datos!AE15)),IF(D_I="SI",Datos!K15,Datos!K15+Datos!AE15)," - ")</f>
        <v>1971</v>
      </c>
      <c r="H15" s="404">
        <f>IF(ISNUMBER(G15/B15),G15/B15," - ")</f>
        <v>394.2</v>
      </c>
      <c r="I15" s="403">
        <f>IF(ISNUMBER(IF(D_I="SI",Datos!L15,Datos!L15+Datos!AF15)),IF(D_I="SI",Datos!L15,Datos!L15+Datos!AF15)," - ")</f>
        <v>1969</v>
      </c>
      <c r="J15" s="404">
        <f>IF(ISNUMBER(I15/B15),I15/B15," - ")</f>
        <v>393.8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69</v>
      </c>
      <c r="D17" s="404">
        <f>IF(ISNUMBER(C17/Datos!BH17),C17/Datos!BH17," - ")</f>
        <v>69</v>
      </c>
      <c r="E17" s="403">
        <f>IF(ISNUMBER(IF(D_I="SI",Datos!J17,Datos!J17+Datos!AD17)),IF(D_I="SI",Datos!J17,Datos!J17+Datos!AD17)," - ")</f>
        <v>451</v>
      </c>
      <c r="F17" s="404">
        <f>IF(ISNUMBER(E17/B17),E17/B17," - ")</f>
        <v>451</v>
      </c>
      <c r="G17" s="403">
        <f>IF(ISNUMBER(IF(D_I="SI",Datos!K17,Datos!K17+Datos!AE17)),IF(D_I="SI",Datos!K17,Datos!K17+Datos!AE17)," - ")</f>
        <v>440</v>
      </c>
      <c r="H17" s="404">
        <f>IF(ISNUMBER(G17/B17),G17/B17," - ")</f>
        <v>440</v>
      </c>
      <c r="I17" s="403">
        <f>IF(ISNUMBER(IF(D_I="SI",Datos!L17,Datos!L17+Datos!AF17)),IF(D_I="SI",Datos!L17,Datos!L17+Datos!AF17)," - ")</f>
        <v>80</v>
      </c>
      <c r="J17" s="404">
        <f>IF(ISNUMBER(I17/B17),I17/B17," - ")</f>
        <v>80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2128</v>
      </c>
      <c r="D18" s="850" t="str">
        <f>IF(ISNUMBER(C18/Datos!BI18),C18/Datos!BI18," - ")</f>
        <v xml:space="preserve"> - </v>
      </c>
      <c r="E18" s="849">
        <f>SUBTOTAL(9,E14:E17)</f>
        <v>2332</v>
      </c>
      <c r="F18" s="850">
        <f>IF(ISNUMBER(E18/B18),E18/B18," - ")</f>
        <v>388.66666666666669</v>
      </c>
      <c r="G18" s="849">
        <f>SUBTOTAL(9,G14:G17)</f>
        <v>2411</v>
      </c>
      <c r="H18" s="850">
        <f>IF(ISNUMBER(G18/B18),G18/B18," - ")</f>
        <v>401.83333333333331</v>
      </c>
      <c r="I18" s="849">
        <f>SUBTOTAL(9,I14:I17)</f>
        <v>2049</v>
      </c>
      <c r="J18" s="850">
        <f>IF(ISNUMBER(I18/B18),I18/B18," - ")</f>
        <v>341.5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8608</v>
      </c>
      <c r="D19" s="795" t="str">
        <f>IF(ISNUMBER(C19/Datos!BI19),C19/Datos!BI19," - ")</f>
        <v xml:space="preserve"> - </v>
      </c>
      <c r="E19" s="794">
        <f>SUBTOTAL(9,E9:E18)</f>
        <v>4795</v>
      </c>
      <c r="F19" s="795">
        <f>IF(ISNUMBER(E19/B19),E19/B19," - ")</f>
        <v>435.90909090909093</v>
      </c>
      <c r="G19" s="794">
        <f>SUBTOTAL(9,G9:G18)</f>
        <v>4638</v>
      </c>
      <c r="H19" s="795">
        <f>IF(ISNUMBER(G19/B19),G19/B19," - ")</f>
        <v>421.63636363636363</v>
      </c>
      <c r="I19" s="794">
        <f>SUBTOTAL(9,I9:I18)</f>
        <v>8766</v>
      </c>
      <c r="J19" s="795">
        <f>IF(ISNUMBER(I19/B19),I19/B19," - ")</f>
        <v>796.90909090909088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3ul9DzEtIVjq2qKx7Mi+Pfu1lDE62rLIJosZzsAHDk6QcnUmFG5KuanlgEHkyrVb8/7afcLVAoUX00Ru3lbmQ==" saltValue="el+IT9L22gNokwUNwtVf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ALGECIRAS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4</v>
      </c>
      <c r="D9" s="403">
        <f>Datos!BK9</f>
        <v>0</v>
      </c>
      <c r="E9" s="403">
        <f>Datos!AQ9</f>
        <v>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0JhuoMqoIYfrrVYK/fjJKcsK8rkDyncFiVgSKUDuCLHQjELbKTx+vW18oXOX1h75d0GwcmXDSQgwBJuJBWtlQ==" saltValue="xWBI5CWiJgZA/FWBDkb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ALGECIRAS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4</v>
      </c>
      <c r="C9" s="410">
        <f>Datos!AQ9</f>
        <v>4</v>
      </c>
      <c r="D9" s="403">
        <f>IF(ISNUMBER(Datos!M9),Datos!M9," - ")</f>
        <v>360</v>
      </c>
      <c r="E9" s="404">
        <f t="shared" ref="E9:E13" si="0">IF(ISNUMBER(D9/B9),D9/B9," - ")</f>
        <v>90</v>
      </c>
      <c r="F9" s="403">
        <f>IF(ISNUMBER(Datos!N9),Datos!N9," - ")</f>
        <v>911</v>
      </c>
      <c r="G9" s="404">
        <f t="shared" ref="G9:G13" si="1">IF(ISNUMBER(F9/B9),F9/B9," - ")</f>
        <v>227.75</v>
      </c>
      <c r="H9" s="403">
        <f>IF(ISNUMBER(Datos!O9),Datos!O9," - ")</f>
        <v>748</v>
      </c>
      <c r="I9" s="404">
        <f>IF(ISNUMBER(H9/B9),H9/B9," - ")</f>
        <v>187</v>
      </c>
      <c r="BZ9" s="1186">
        <f>Datos!EZ9</f>
        <v>0</v>
      </c>
    </row>
    <row r="10" spans="1:78">
      <c r="A10" s="402" t="str">
        <f>Datos!A10</f>
        <v>Jdos. Violencia contra la mujer</v>
      </c>
      <c r="B10" s="427">
        <f>Datos!AO10</f>
        <v>1</v>
      </c>
      <c r="C10" s="410">
        <f>Datos!AQ10</f>
        <v>1</v>
      </c>
      <c r="D10" s="403">
        <f>IF(ISNUMBER(Datos!M10),Datos!M10," - ")</f>
        <v>25</v>
      </c>
      <c r="E10" s="404">
        <f>IF(ISNUMBER(D10/B10),D10/B10," - ")</f>
        <v>25</v>
      </c>
      <c r="F10" s="403">
        <f>IF(ISNUMBER(Datos!N10),Datos!N10," - ")</f>
        <v>13</v>
      </c>
      <c r="G10" s="404">
        <f>IF(ISNUMBER(F10/B10),F10/B10," - ")</f>
        <v>13</v>
      </c>
      <c r="H10" s="403">
        <f>IF(ISNUMBER(Datos!O10),Datos!O10," - ")</f>
        <v>8</v>
      </c>
      <c r="I10" s="404">
        <f t="shared" ref="I10:I12" si="2">IF(ISNUMBER(H10/B10),H10/B10," - ")</f>
        <v>8</v>
      </c>
      <c r="BZ10" s="1186">
        <f>Datos!EZ10</f>
        <v>0</v>
      </c>
    </row>
    <row r="11" spans="1:78">
      <c r="A11" s="402" t="str">
        <f>Datos!A11</f>
        <v xml:space="preserve">Jdos. Familia                                   </v>
      </c>
      <c r="B11" s="427">
        <f>Datos!AO11</f>
        <v>1</v>
      </c>
      <c r="C11" s="410">
        <f>Datos!AQ11</f>
        <v>1</v>
      </c>
      <c r="D11" s="403">
        <f>IF(ISNUMBER(Datos!M11),Datos!M11," - ")</f>
        <v>60</v>
      </c>
      <c r="E11" s="404">
        <f t="shared" si="0"/>
        <v>60</v>
      </c>
      <c r="F11" s="403">
        <f>IF(ISNUMBER(Datos!N11),Datos!N11," - ")</f>
        <v>76</v>
      </c>
      <c r="G11" s="404">
        <f t="shared" si="1"/>
        <v>76</v>
      </c>
      <c r="H11" s="403">
        <f>IF(ISNUMBER(Datos!O11),Datos!O11," - ")</f>
        <v>97</v>
      </c>
      <c r="I11" s="404">
        <f t="shared" si="2"/>
        <v>97</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445</v>
      </c>
      <c r="E13" s="850">
        <f t="shared" si="0"/>
        <v>74.166666666666671</v>
      </c>
      <c r="F13" s="849">
        <f>SUBTOTAL(9,F9:F12)</f>
        <v>1000</v>
      </c>
      <c r="G13" s="850">
        <f t="shared" si="1"/>
        <v>166.66666666666666</v>
      </c>
      <c r="H13" s="849">
        <f>SUBTOTAL(9,H9:H12)</f>
        <v>853</v>
      </c>
      <c r="I13" s="850">
        <f>IF(ISNUMBER(H13/B13),H13/B13," - ")</f>
        <v>142.16666666666666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372</v>
      </c>
      <c r="E15" s="404">
        <f t="shared" ref="E15:E18" si="3">IF(ISNUMBER(D15/B15),D15/B15," - ")</f>
        <v>74.400000000000006</v>
      </c>
      <c r="F15" s="403">
        <f>IF(ISNUMBER(Datos!N15),Datos!N15," - ")</f>
        <v>941</v>
      </c>
      <c r="G15" s="404">
        <f t="shared" ref="G15:G18" si="4">IF(ISNUMBER(F15/B15),F15/B15," - ")</f>
        <v>188.2</v>
      </c>
      <c r="H15" s="403">
        <f>IF(ISNUMBER(Datos!O15),Datos!O15," - ")</f>
        <v>60</v>
      </c>
      <c r="I15" s="404">
        <f t="shared" ref="I15:I17" si="5">IF(ISNUMBER(H15/B15),H15/B15," - ")</f>
        <v>12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123</v>
      </c>
      <c r="E17" s="404">
        <f>IF(ISNUMBER(D17/B17),D17/B17," - ")</f>
        <v>123</v>
      </c>
      <c r="F17" s="403">
        <f>IF(ISNUMBER(Datos!N17),Datos!N17," - ")</f>
        <v>111</v>
      </c>
      <c r="G17" s="404">
        <f>IF(ISNUMBER(F17/B17),F17/B17," - ")</f>
        <v>111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495</v>
      </c>
      <c r="E18" s="850">
        <f t="shared" si="3"/>
        <v>82.5</v>
      </c>
      <c r="F18" s="849">
        <f>SUBTOTAL(9,F15:F17)</f>
        <v>1052</v>
      </c>
      <c r="G18" s="850">
        <f t="shared" si="4"/>
        <v>175.33333333333334</v>
      </c>
      <c r="H18" s="849">
        <f>SUBTOTAL(9,H15:H17)</f>
        <v>60</v>
      </c>
      <c r="I18" s="850">
        <f>IF(ISNUMBER(H18/B18),H18/B18," - ")</f>
        <v>10</v>
      </c>
      <c r="BZ18" s="1186"/>
    </row>
    <row r="19" spans="1:78" ht="14.25" thickTop="1" thickBot="1">
      <c r="A19" s="793" t="str">
        <f>Datos!A19</f>
        <v>TOTAL JURISDICCIONES</v>
      </c>
      <c r="B19" s="794">
        <f>Datos!AP19</f>
        <v>11</v>
      </c>
      <c r="C19" s="794">
        <f>Datos!AR19</f>
        <v>11</v>
      </c>
      <c r="D19" s="794">
        <f>SUBTOTAL(9,D8:D18)</f>
        <v>940</v>
      </c>
      <c r="E19" s="795">
        <f>IF(ISNUMBER(D19/B19),D19/B19," - ")</f>
        <v>85.454545454545453</v>
      </c>
      <c r="F19" s="794">
        <f>SUBTOTAL(9,F8:F18)</f>
        <v>2052</v>
      </c>
      <c r="G19" s="795">
        <f>IF(ISNUMBER(F19/B19),F19/B19," - ")</f>
        <v>186.54545454545453</v>
      </c>
      <c r="H19" s="794">
        <f>SUBTOTAL(9,H8:H18)</f>
        <v>913</v>
      </c>
      <c r="I19" s="795">
        <f>IF(ISNUMBER(H19/B19),H19/B19," - ")</f>
        <v>83</v>
      </c>
    </row>
    <row r="22" spans="1:78">
      <c r="A22" s="391" t="str">
        <f>Criterios!A4</f>
        <v>Fecha Informe: 29 nov. 2024</v>
      </c>
    </row>
    <row r="27" spans="1:78">
      <c r="A27" s="414"/>
    </row>
  </sheetData>
  <sheetProtection algorithmName="SHA-512" hashValue="Ltp8DqLNkMW7L+0xFARAVg4ls2i2NkchjvVd5JudAMsjSDGk9p9fqYXWcuH6QaEr4YlGGAl8CPd4BjAwFkfcLw==" saltValue="vZlRuM//qkiasc3q58uTi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ALGECIRAS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449</v>
      </c>
      <c r="C9" s="434">
        <f>IF(ISNUMBER(Datos!Q9),Datos!Q9," - ")</f>
        <v>254</v>
      </c>
      <c r="D9" s="408">
        <f>IF(ISNUMBER(Datos!R9),Datos!R9," - ")</f>
        <v>8929</v>
      </c>
    </row>
    <row r="10" spans="1:4">
      <c r="A10" s="402" t="str">
        <f>Datos!A10</f>
        <v>Jdos. Violencia contra la mujer</v>
      </c>
      <c r="B10" s="433">
        <f>IF(ISNUMBER(Datos!P10),Datos!P10," - ")</f>
        <v>9</v>
      </c>
      <c r="C10" s="434">
        <f>IF(ISNUMBER(Datos!Q10),Datos!Q10," - ")</f>
        <v>2</v>
      </c>
      <c r="D10" s="408">
        <f>IF(ISNUMBER(Datos!R10),Datos!R10," - ")</f>
        <v>84</v>
      </c>
    </row>
    <row r="11" spans="1:4">
      <c r="A11" s="402" t="str">
        <f>Datos!A11</f>
        <v xml:space="preserve">Jdos. Familia                                   </v>
      </c>
      <c r="B11" s="433">
        <f>IF(ISNUMBER(Datos!P11),Datos!P11," - ")</f>
        <v>45</v>
      </c>
      <c r="C11" s="434">
        <f>IF(ISNUMBER(Datos!Q11),Datos!Q11," - ")</f>
        <v>22</v>
      </c>
      <c r="D11" s="408">
        <f>IF(ISNUMBER(Datos!R11),Datos!R11," - ")</f>
        <v>485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503</v>
      </c>
      <c r="C13" s="853">
        <f>SUBTOTAL(9,C9:C12)</f>
        <v>278</v>
      </c>
      <c r="D13" s="851">
        <f>SUBTOTAL(9,D9:D12)</f>
        <v>9498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82</v>
      </c>
      <c r="C15" s="434">
        <f>IF(ISNUMBER(Datos!Q15),Datos!Q15," - ")</f>
        <v>65</v>
      </c>
      <c r="D15" s="408">
        <f>IF(ISNUMBER(Datos!R15),Datos!R15," - ")</f>
        <v>399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13</v>
      </c>
      <c r="C17" s="434">
        <f>IF(ISNUMBER(Datos!Q17),Datos!Q17," - ")</f>
        <v>0</v>
      </c>
      <c r="D17" s="408">
        <f>IF(ISNUMBER(Datos!R17),Datos!R17," - ")</f>
        <v>28</v>
      </c>
    </row>
    <row r="18" spans="1:4" ht="14.25" thickTop="1" thickBot="1">
      <c r="A18" s="848" t="str">
        <f>Datos!A18</f>
        <v>TOTAL</v>
      </c>
      <c r="B18" s="849">
        <f>SUBTOTAL(9,B15:B17)</f>
        <v>95</v>
      </c>
      <c r="C18" s="853">
        <f>SUBTOTAL(9,C15:C17)</f>
        <v>65</v>
      </c>
      <c r="D18" s="851">
        <f>SUBTOTAL(9,D15:D17)</f>
        <v>427</v>
      </c>
    </row>
    <row r="19" spans="1:4" ht="16.5" customHeight="1" thickTop="1" thickBot="1">
      <c r="A19" s="793" t="str">
        <f>Datos!A19</f>
        <v>TOTAL JURISDICCIONES</v>
      </c>
      <c r="B19" s="798">
        <f>SUBTOTAL(9,B8:B18)</f>
        <v>598</v>
      </c>
      <c r="C19" s="799">
        <f>SUBTOTAL(9,C8:C18)</f>
        <v>343</v>
      </c>
      <c r="D19" s="800">
        <f>SUBTOTAL(9,D8:D18)</f>
        <v>9925</v>
      </c>
    </row>
    <row r="20" spans="1:4" ht="7.5" customHeight="1"/>
    <row r="21" spans="1:4" ht="6" customHeight="1"/>
    <row r="22" spans="1:4">
      <c r="A22" s="391" t="str">
        <f>Criterios!A4</f>
        <v>Fecha Informe: 29 nov. 2024</v>
      </c>
    </row>
    <row r="27" spans="1:4">
      <c r="A27" s="414"/>
    </row>
  </sheetData>
  <sheetProtection algorithmName="SHA-512" hashValue="J1SP5IShBhMhFc5+6L3/nDoW7ZR9zl0xbglmHYgLXdB8lGpoiEepG6+4RjJNvkrH5YfjYncvTQbp1WJfw/tgDg==" saltValue="kwshqTluzmLchAFYPRaL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ALGECIRAS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0.36842105263157893</v>
      </c>
      <c r="C9" s="456">
        <f>IF(ISNUMBER(
   IF(J_V="SI",(Datos!J9-Datos!T9)/Datos!T9,(Datos!J9+Datos!Z9-(Datos!T9+Datos!AH9))/(Datos!T9+Datos!AH9))
     ),IF(J_V="SI",(Datos!J9-Datos!T9)/Datos!T9,(Datos!J9+Datos!Z9-(Datos!T9+Datos!AH9))/(Datos!T9+Datos!AH9))," - ")</f>
        <v>0.22621809744779584</v>
      </c>
      <c r="D9" s="456">
        <f>IF(ISNUMBER(
   IF(J_V="SI",(Datos!K9-Datos!U9)/Datos!U9,(Datos!K9+Datos!AA9-(Datos!U9+Datos!AI9))/(Datos!U9+Datos!AI9))
     ),IF(J_V="SI",(Datos!K9-Datos!U9)/Datos!U9,(Datos!K9+Datos!AA9-(Datos!U9+Datos!AI9))/(Datos!U9+Datos!AI9))," - ")</f>
        <v>0.25869993434011818</v>
      </c>
      <c r="E9" s="456">
        <f>IF(ISNUMBER(
   IF(J_V="SI",(Datos!L9-Datos!V9)/Datos!V9,(Datos!L9+Datos!AB9-(Datos!V9+Datos!AJ9))/(Datos!V9+Datos!AJ9))
     ),IF(J_V="SI",(Datos!L9-Datos!V9)/Datos!V9,(Datos!L9+Datos!AB9-(Datos!V9+Datos!AJ9))/(Datos!V9+Datos!AJ9))," - ")</f>
        <v>0.3502009931425869</v>
      </c>
      <c r="F9" s="456">
        <f>IF(ISNUMBER((Datos!M9-Datos!W9)/Datos!W9),(Datos!M9-Datos!W9)/Datos!W9," - ")</f>
        <v>1.0930232558139534</v>
      </c>
      <c r="G9" s="457">
        <f>IF(ISNUMBER((Datos!N9-Datos!X9)/Datos!X9),(Datos!N9-Datos!X9)/Datos!X9," - ")</f>
        <v>4.7126436781609195E-2</v>
      </c>
      <c r="H9" s="455">
        <f>IF(ISNUMBER(((NºAsuntos!G9/NºAsuntos!E9)-Datos!BD9)/Datos!BD9),((NºAsuntos!G9/NºAsuntos!E9)-Datos!BD9)/Datos!BD9," - ")</f>
        <v>2.6489445034230657E-2</v>
      </c>
      <c r="I9" s="456">
        <f>IF(ISNUMBER(((NºAsuntos!I9/NºAsuntos!G9)-Datos!BE9)/Datos!BE9),((NºAsuntos!I9/NºAsuntos!G9)-Datos!BE9)/Datos!BE9," - ")</f>
        <v>7.2694894395492982E-2</v>
      </c>
      <c r="J9" s="461">
        <f>IF(ISNUMBER((('Resol  Asuntos'!D9/NºAsuntos!G9)-Datos!BF9)/Datos!BF9),(('Resol  Asuntos'!D9/NºAsuntos!G9)-Datos!BF9)/Datos!BF9," - ")</f>
        <v>-0.67125357509038908</v>
      </c>
      <c r="K9" s="462">
        <f>IF(ISNUMBER((((NºAsuntos!C9+NºAsuntos!E9)/NºAsuntos!G9)-Datos!BG9)/Datos!BG9),(((NºAsuntos!C9+NºAsuntos!E9)/NºAsuntos!G9)-Datos!BG9)/Datos!BG9," - ")</f>
        <v>5.3308803524282855E-2</v>
      </c>
    </row>
    <row r="10" spans="1:11">
      <c r="A10" s="402" t="str">
        <f>Datos!A10</f>
        <v>Jdos. Violencia contra la mujer</v>
      </c>
      <c r="B10" s="455">
        <f>IF(ISNUMBER((Datos!I10-Datos!S10)/Datos!S10),(Datos!I10-Datos!S10)/Datos!S10," - ")</f>
        <v>-0.14772727272727273</v>
      </c>
      <c r="C10" s="456">
        <f>IF(ISNUMBER((Datos!J10-Datos!T10)/Datos!T10),(Datos!J10-Datos!T10)/Datos!T10," - ")</f>
        <v>0.8214285714285714</v>
      </c>
      <c r="D10" s="456">
        <f>IF(ISNUMBER((Datos!K10-Datos!U10)/Datos!U10),(Datos!K10-Datos!U10)/Datos!U10," - ")</f>
        <v>2.3255813953488372E-2</v>
      </c>
      <c r="E10" s="456">
        <f>IF(ISNUMBER((Datos!L10-Datos!V10)/Datos!V10),(Datos!L10-Datos!V10)/Datos!V10," - ")</f>
        <v>-2.4844720496894408E-2</v>
      </c>
      <c r="F10" s="456">
        <f>IF(ISNUMBER((Datos!M10-Datos!W10)/Datos!W10),(Datos!M10-Datos!W10)/Datos!W10," - ")</f>
        <v>4.1666666666666664E-2</v>
      </c>
      <c r="G10" s="457">
        <f>IF(ISNUMBER((Datos!N10-Datos!X10)/Datos!X10),(Datos!N10-Datos!X10)/Datos!X10," - ")</f>
        <v>0.625</v>
      </c>
      <c r="H10" s="455">
        <f>IF(ISNUMBER(((NºAsuntos!G10/NºAsuntos!E10)-Datos!BD10)/Datos!BD10),((NºAsuntos!G10/NºAsuntos!E10)-Datos!BD10)/Datos!BD10," - ")</f>
        <v>-0.43821249430004561</v>
      </c>
      <c r="I10" s="456">
        <f>IF(ISNUMBER(((NºAsuntos!I10/NºAsuntos!G10)-Datos!BE10)/Datos!BE10),((NºAsuntos!I10/NºAsuntos!G10)-Datos!BE10)/Datos!BE10," - ")</f>
        <v>-4.7007340485601311E-2</v>
      </c>
      <c r="J10" s="461">
        <f>IF(ISNUMBER((('Resol  Asuntos'!D10/NºAsuntos!G10)-Datos!BF10)/Datos!BF10),(('Resol  Asuntos'!D10/NºAsuntos!G10)-Datos!BF10)/Datos!BF10," - ")</f>
        <v>1.7992424242424348E-2</v>
      </c>
      <c r="K10" s="462">
        <f>IF(ISNUMBER((((NºAsuntos!C10+NºAsuntos!E10)/NºAsuntos!G10)-Datos!BG10)/Datos!BG10),(((NºAsuntos!C10+NºAsuntos!E10)/NºAsuntos!G10)-Datos!BG10)/Datos!BG10," - ")</f>
        <v>-3.7098930481283474E-2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-0.12043010752688173</v>
      </c>
      <c r="C11" s="456">
        <f>IF(ISNUMBER(
   IF(J_V="SI",(Datos!J11-Datos!T11)/Datos!T11,(Datos!J11+Datos!Z11-(Datos!T11+Datos!AH11))/(Datos!T11+Datos!AH11))
     ),IF(J_V="SI",(Datos!J11-Datos!T11)/Datos!T11,(Datos!J11+Datos!Z11-(Datos!T11+Datos!AH11))/(Datos!T11+Datos!AH11))," - ")</f>
        <v>-0.13623188405797101</v>
      </c>
      <c r="D11" s="456">
        <f>IF(ISNUMBER(
   IF(J_V="SI",(Datos!K11-Datos!U11)/Datos!U11,(Datos!K11+Datos!AA11-(Datos!U11+Datos!AI11))/(Datos!U11+Datos!AI11))
     ),IF(J_V="SI",(Datos!K11-Datos!U11)/Datos!U11,(Datos!K11+Datos!AA11-(Datos!U11+Datos!AI11))/(Datos!U11+Datos!AI11))," - ")</f>
        <v>-0.28494623655913981</v>
      </c>
      <c r="E11" s="456">
        <f>IF(ISNUMBER(
   IF(J_V="SI",(Datos!L11-Datos!V11)/Datos!V11,(Datos!L11+Datos!AB11-(Datos!V11+Datos!AJ11))/(Datos!V11+Datos!AJ11))
     ),IF(J_V="SI",(Datos!L11-Datos!V11)/Datos!V11,(Datos!L11+Datos!AB11-(Datos!V11+Datos!AJ11))/(Datos!V11+Datos!AJ11))," - ")</f>
        <v>-5.8693244739756366E-2</v>
      </c>
      <c r="F11" s="456">
        <f>IF(ISNUMBER((Datos!M11-Datos!W11)/Datos!W11),(Datos!M11-Datos!W11)/Datos!W11," - ")</f>
        <v>-0.40594059405940597</v>
      </c>
      <c r="G11" s="457">
        <f>IF(ISNUMBER((Datos!N11-Datos!X11)/Datos!X11),(Datos!N11-Datos!X11)/Datos!X11," - ")</f>
        <v>-0.28971962616822428</v>
      </c>
      <c r="H11" s="455">
        <f>IF(ISNUMBER(((NºAsuntos!G11/NºAsuntos!E11)-Datos!BD11)/Datos!BD11),((NºAsuntos!G11/NºAsuntos!E11)-Datos!BD11)/Datos!BD11," - ")</f>
        <v>-0.17216930071444031</v>
      </c>
      <c r="I11" s="456">
        <f>IF(ISNUMBER(((NºAsuntos!I11/NºAsuntos!G11)-Datos!BE11)/Datos!BE11),((NºAsuntos!I11/NºAsuntos!G11)-Datos!BE11)/Datos!BE11," - ")</f>
        <v>0.31641395848425063</v>
      </c>
      <c r="J11" s="461">
        <f>IF(ISNUMBER((('Resol  Asuntos'!D11/NºAsuntos!G11)-Datos!BF11)/Datos!BF11),(('Resol  Asuntos'!D11/NºAsuntos!G11)-Datos!BF11)/Datos!BF11," - ")</f>
        <v>-0.21579650059728772</v>
      </c>
      <c r="K11" s="462">
        <f>IF(ISNUMBER((((NºAsuntos!C11+NºAsuntos!E11)/NºAsuntos!G11)-Datos!BG11)/Datos!BG11),(((NºAsuntos!C11+NºAsuntos!E11)/NºAsuntos!G11)-Datos!BG11)/Datos!BG11," - ")</f>
        <v>0.22409553295002219</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0.26217374366965329</v>
      </c>
      <c r="C13" s="855">
        <f>IF(ISNUMBER(
   IF(J_V="SI",(Datos!J13-Datos!T13)/Datos!T13,(Datos!J13+Datos!Z13-(Datos!T13+Datos!AH13))/(Datos!T13+Datos!AH13))
     ),IF(J_V="SI",(Datos!J13-Datos!T13)/Datos!T13,(Datos!J13+Datos!Z13-(Datos!T13+Datos!AH13))/(Datos!T13+Datos!AH13))," - ")</f>
        <v>0.17453505007153075</v>
      </c>
      <c r="D13" s="855">
        <f>IF(ISNUMBER(
   IF(J_V="SI",(Datos!K13-Datos!U13)/Datos!U13,(Datos!K13+Datos!AA13-(Datos!U13+Datos!AI13))/(Datos!U13+Datos!AI13))
     ),IF(J_V="SI",(Datos!K13-Datos!U13)/Datos!U13,(Datos!K13+Datos!AA13-(Datos!U13+Datos!AI13))/(Datos!U13+Datos!AI13))," - ")</f>
        <v>0.14912280701754385</v>
      </c>
      <c r="E13" s="855">
        <f>IF(ISNUMBER(
   IF(J_V="SI",(Datos!L13-Datos!V13)/Datos!V13,(Datos!L13+Datos!AB13-(Datos!V13+Datos!AJ13))/(Datos!V13+Datos!AJ13))
     ),IF(J_V="SI",(Datos!L13-Datos!V13)/Datos!V13,(Datos!L13+Datos!AB13-(Datos!V13+Datos!AJ13))/(Datos!V13+Datos!AJ13))," - ")</f>
        <v>0.26903457396561498</v>
      </c>
      <c r="F13" s="856">
        <f>IF(ISNUMBER((Datos!M13-Datos!W13)/Datos!W13),(Datos!M13-Datos!W13)/Datos!W13," - ")</f>
        <v>0.49831649831649832</v>
      </c>
      <c r="G13" s="857">
        <f>IF(ISNUMBER((Datos!N13-Datos!X13)/Datos!X13),(Datos!N13-Datos!X13)/Datos!X13," - ")</f>
        <v>1.5228426395939087E-2</v>
      </c>
      <c r="H13" s="857">
        <f>IF(ISNUMBER(((NºAsuntos!G13/NºAsuntos!E13)-Datos!BD13)/Datos!BD13),((NºAsuntos!G13/NºAsuntos!E13)-Datos!BD13)/Datos!BD13," - ")</f>
        <v>-2.1636002307840206E-2</v>
      </c>
      <c r="I13" s="857">
        <f>IF(ISNUMBER(((NºAsuntos!I13/NºAsuntos!G13)-Datos!BE13)/Datos!BE13),((NºAsuntos!I13/NºAsuntos!G13)-Datos!BE13)/Datos!BE13," - ")</f>
        <v>0.10435069795481007</v>
      </c>
      <c r="J13" s="857">
        <f>IF(ISNUMBER((('Resol  Asuntos'!D13/NºAsuntos!G13)-Datos!BF13)/Datos!BF13),(('Resol  Asuntos'!D13/NºAsuntos!G13)-Datos!BF13)/Datos!BF13," - ")</f>
        <v>-0.61313495664640705</v>
      </c>
      <c r="K13" s="857">
        <f>IF(ISNUMBER((((NºAsuntos!C13+NºAsuntos!E13)/NºAsuntos!G13)-Datos!BG13)/Datos!BG13),(((NºAsuntos!C13+NºAsuntos!E13)/NºAsuntos!G13)-Datos!BG13)/Datos!BG13," - ")</f>
        <v>7.6263036269834966E-2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-2.6017029328287606E-2</v>
      </c>
      <c r="C15" s="456">
        <f>IF(ISNUMBER(
   IF(D_I="SI",(Datos!J15-Datos!T15)/Datos!T15,(Datos!J15+Datos!AD15-(Datos!T15+Datos!AL15))/(Datos!T15+Datos!AL15))
     ),IF(D_I="SI",(Datos!J15-Datos!T15)/Datos!T15,(Datos!J15+Datos!AD15-(Datos!T15+Datos!AL15))/(Datos!T15+Datos!AL15))," - ")</f>
        <v>-0.17788461538461539</v>
      </c>
      <c r="D15" s="456">
        <f>IF(ISNUMBER(
   IF(D_I="SI",(Datos!K15-Datos!U15)/Datos!U15,(Datos!K15+Datos!AE15-(Datos!U15+Datos!AM15))/(Datos!U15+Datos!AM15))
     ),IF(D_I="SI",(Datos!K15-Datos!U15)/Datos!U15,(Datos!K15+Datos!AE15-(Datos!U15+Datos!AM15))/(Datos!U15+Datos!AM15))," - ")</f>
        <v>-0.12361049355269009</v>
      </c>
      <c r="E15" s="456">
        <f>IF(ISNUMBER(
   IF(D_I="SI",(Datos!L15-Datos!V15)/Datos!V15,(Datos!L15+Datos!AF15-(Datos!V15+Datos!AN15))/(Datos!V15+Datos!AN15))
     ),IF(D_I="SI",(Datos!L15-Datos!V15)/Datos!V15,(Datos!L15+Datos!AF15-(Datos!V15+Datos!AN15))/(Datos!V15+Datos!AN15))," - ")</f>
        <v>-0.13716038562664329</v>
      </c>
      <c r="F15" s="456">
        <f>IF(ISNUMBER((Datos!M15-Datos!W15)/Datos!W15),(Datos!M15-Datos!W15)/Datos!W15," - ")</f>
        <v>0.11711711711711711</v>
      </c>
      <c r="G15" s="457">
        <f>IF(ISNUMBER((Datos!N15-Datos!X15)/Datos!X15),(Datos!N15-Datos!X15)/Datos!X15," - ")</f>
        <v>-0.26541764246682281</v>
      </c>
      <c r="H15" s="455">
        <f>IF(ISNUMBER(((NºAsuntos!G15/NºAsuntos!E15)-Datos!BD15)/Datos!BD15),((NºAsuntos!G15/NºAsuntos!E15)-Datos!BD15)/Datos!BD15," - ")</f>
        <v>6.6017645269242545E-2</v>
      </c>
      <c r="I15" s="456">
        <f>IF(ISNUMBER(((NºAsuntos!I15/NºAsuntos!G15)-Datos!BE15)/Datos!BE15),((NºAsuntos!I15/NºAsuntos!G15)-Datos!BE15)/Datos!BE15," - ")</f>
        <v>-1.5461038698285457E-2</v>
      </c>
      <c r="J15" s="461">
        <f>IF(ISNUMBER((('Resol  Asuntos'!D15/NºAsuntos!G15)-Datos!BF15)/Datos!BF15),(('Resol  Asuntos'!D15/NºAsuntos!G15)-Datos!BF15)/Datos!BF15," - ")</f>
        <v>0.27468107376783157</v>
      </c>
      <c r="K15" s="462">
        <f>IF(ISNUMBER((((NºAsuntos!C15+NºAsuntos!E15)/NºAsuntos!G15)-Datos!BG15)/Datos!BG15),(((NºAsuntos!C15+NºAsuntos!E15)/NºAsuntos!G15)-Datos!BG15)/Datos!BG15," - ")</f>
        <v>2.1289847726149919E-2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-0.08</v>
      </c>
      <c r="C17" s="456">
        <f>IF(ISNUMBER(
   IF(D_I="SI",(Datos!J17-Datos!T17)/Datos!T17,(Datos!J17+Datos!AD17-(Datos!T17+Datos!AL17))/(Datos!T17+Datos!AL17))
     ),IF(D_I="SI",(Datos!J17-Datos!T17)/Datos!T17,(Datos!J17+Datos!AD17-(Datos!T17+Datos!AL17))/(Datos!T17+Datos!AL17))," - ")</f>
        <v>-9.0725806451612906E-2</v>
      </c>
      <c r="D17" s="456">
        <f>IF(ISNUMBER(
   IF(D_I="SI",(Datos!K17-Datos!U17)/Datos!U17,(Datos!K17+Datos!AE17-(Datos!U17+Datos!AM17))/(Datos!U17+Datos!AM17))
     ),IF(D_I="SI",(Datos!K17-Datos!U17)/Datos!U17,(Datos!K17+Datos!AE17-(Datos!U17+Datos!AM17))/(Datos!U17+Datos!AM17))," - ")</f>
        <v>-0.11468812877263582</v>
      </c>
      <c r="E17" s="456">
        <f>IF(ISNUMBER(
   IF(D_I="SI",(Datos!L17-Datos!V17)/Datos!V17,(Datos!L17+Datos!AF17-(Datos!V17+Datos!AN17))/(Datos!V17+Datos!AN17))
     ),IF(D_I="SI",(Datos!L17-Datos!V17)/Datos!V17,(Datos!L17+Datos!AF17-(Datos!V17+Datos!AN17))/(Datos!V17+Datos!AN17))," - ")</f>
        <v>6.6666666666666666E-2</v>
      </c>
      <c r="F17" s="456">
        <f>IF(ISNUMBER((Datos!M17-Datos!W17)/Datos!W17),(Datos!M17-Datos!W17)/Datos!W17," - ")</f>
        <v>-3.90625E-2</v>
      </c>
      <c r="G17" s="457">
        <f>IF(ISNUMBER((Datos!N17-Datos!X17)/Datos!X17),(Datos!N17-Datos!X17)/Datos!X17," - ")</f>
        <v>-0.56640625</v>
      </c>
      <c r="H17" s="455">
        <f>IF(ISNUMBER(((NºAsuntos!G17/NºAsuntos!E17)-Datos!BD17)/Datos!BD17),((NºAsuntos!G17/NºAsuntos!E17)-Datos!BD17)/Datos!BD17," - ")</f>
        <v>-2.6353241399617183E-2</v>
      </c>
      <c r="I17" s="456">
        <f>IF(ISNUMBER(((NºAsuntos!I17/NºAsuntos!G17)-Datos!BE17)/Datos!BE17),((NºAsuntos!I17/NºAsuntos!G17)-Datos!BE17)/Datos!BE17," - ")</f>
        <v>0.20484848484848497</v>
      </c>
      <c r="J17" s="461">
        <f>IF(ISNUMBER((('Resol  Asuntos'!D17/NºAsuntos!G17)-Datos!BF17)/Datos!BF17),(('Resol  Asuntos'!D17/NºAsuntos!G17)-Datos!BF17)/Datos!BF17," - ")</f>
        <v>8.5422585227272627E-2</v>
      </c>
      <c r="K17" s="462">
        <f>IF(ISNUMBER((((NºAsuntos!C17+NºAsuntos!E17)/NºAsuntos!G17)-Datos!BG17)/Datos!BG17),(((NºAsuntos!C17+NºAsuntos!E17)/NºAsuntos!G17)-Datos!BG17)/Datos!BG17," - ")</f>
        <v>2.8657857029135463E-2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-2.7866605756052994E-2</v>
      </c>
      <c r="C18" s="855">
        <f>IF(ISNUMBER(
   IF(Criterios!B14="SI",(Datos!J18-Datos!T18)/Datos!T18,(Datos!J18+Datos!AD18-(Datos!T18+Datos!AL18))/(Datos!T18+Datos!AL18))
     ),IF(Criterios!B14="SI",(Datos!J18-Datos!T18)/Datos!T18,(Datos!J18+Datos!AD18-(Datos!T18+Datos!AL18))/(Datos!T18+Datos!AL18))," - ")</f>
        <v>-0.16235632183908047</v>
      </c>
      <c r="D18" s="855">
        <f>IF(ISNUMBER(
   IF(Criterios!B14="SI",(Datos!K18-Datos!U18)/Datos!U18,(Datos!K18+Datos!AE18-(Datos!U18+Datos!AM18))/(Datos!U18+Datos!AM18))
     ),IF(Criterios!B14="SI",(Datos!K18-Datos!U18)/Datos!U18,(Datos!K18+Datos!AE18-(Datos!U18+Datos!AM18))/(Datos!U18+Datos!AM18))," - ")</f>
        <v>-0.12199563000728332</v>
      </c>
      <c r="E18" s="855">
        <f>IF(ISNUMBER(
   IF(Criterios!B14="SI",(Datos!L18-Datos!V18)/Datos!V18,(Datos!L18+Datos!AF18-(Datos!V18+Datos!AN18))/(Datos!V18+Datos!AN18))
     ),IF(Criterios!B14="SI",(Datos!L18-Datos!V18)/Datos!V18,(Datos!L18+Datos!AF18-(Datos!V18+Datos!AN18))/(Datos!V18+Datos!AN18))," - ")</f>
        <v>-0.13067458633856596</v>
      </c>
      <c r="F18" s="856">
        <f>IF(ISNUMBER((Datos!M18-Datos!W18)/Datos!W18),(Datos!M18-Datos!W18)/Datos!W18," - ")</f>
        <v>7.3752711496746198E-2</v>
      </c>
      <c r="G18" s="857">
        <f>IF(ISNUMBER((Datos!N18-Datos!X18)/Datos!X18),(Datos!N18-Datos!X18)/Datos!X18," - ")</f>
        <v>-0.31554977228366948</v>
      </c>
      <c r="H18" s="857">
        <f>IF(ISNUMBER(((NºAsuntos!G18/NºAsuntos!E18)-Datos!BD18)/Datos!BD18),((NºAsuntos!G18/NºAsuntos!E18)-Datos!BD18)/Datos!BD18," - ")</f>
        <v>4.8183604656828187E-2</v>
      </c>
      <c r="I18" s="857">
        <f>IF(ISNUMBER(((NºAsuntos!I18/NºAsuntos!G18)-Datos!BE18)/Datos!BE18),((NºAsuntos!I18/NºAsuntos!G18)-Datos!BE18)/Datos!BE18," - ")</f>
        <v>-9.8848668957703181E-3</v>
      </c>
      <c r="J18" s="857">
        <f>IF(ISNUMBER((('Resol  Asuntos'!D18/NºAsuntos!G18)-Datos!BF18)/Datos!BF18),(('Resol  Asuntos'!D18/NºAsuntos!G18)-Datos!BF18)/Datos!BF18," - ")</f>
        <v>0.22294688750313779</v>
      </c>
      <c r="K18" s="857">
        <f>IF(ISNUMBER((((NºAsuntos!C18+NºAsuntos!E18)/NºAsuntos!G18)-Datos!BG18)/Datos!BG18),(((NºAsuntos!C18+NºAsuntos!E18)/NºAsuntos!G18)-Datos!BG18)/Datos!BG18," - ")</f>
        <v>2.1456136884510302E-2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0.1754745322955073</v>
      </c>
      <c r="C19" s="802">
        <f>IF(ISNUMBER(
   IF(J_V="SI",(Datos!J19-Datos!T19)/Datos!T19,(Datos!J19+Datos!Z19-(Datos!T19+Datos!AH19))/(Datos!T19+Datos!AH19))
     ),IF(J_V="SI",(Datos!J19-Datos!T19)/Datos!T19,(Datos!J19+Datos!Z19-(Datos!T19+Datos!AH19))/(Datos!T19+Datos!AH19))," - ")</f>
        <v>-1.7619340299119032E-2</v>
      </c>
      <c r="D19" s="802">
        <f>IF(ISNUMBER(
   IF(J_V="SI",(Datos!K19-Datos!U19)/Datos!U19,(Datos!K19+Datos!AA19-(Datos!U19+Datos!AI19))/(Datos!U19+Datos!AI19))
     ),IF(J_V="SI",(Datos!K19-Datos!U19)/Datos!U19,(Datos!K19+Datos!AA19-(Datos!U19+Datos!AI19))/(Datos!U19+Datos!AI19))," - ")</f>
        <v>-9.8206660973526906E-3</v>
      </c>
      <c r="E19" s="802">
        <f>IF(ISNUMBER(
   IF(J_V="SI",(Datos!L19-Datos!V19)/Datos!V19,(Datos!L19+Datos!AB19-(Datos!V19+Datos!AJ19))/(Datos!V19+Datos!AJ19))
     ),IF(J_V="SI",(Datos!L19-Datos!V19)/Datos!V19,(Datos!L19+Datos!AB19-(Datos!V19+Datos!AJ19))/(Datos!V19+Datos!AJ19))," - ")</f>
        <v>0.14588235294117646</v>
      </c>
      <c r="F19" s="803">
        <f>IF(ISNUMBER((Datos!M19-Datos!W19)/Datos!W19),(Datos!M19-Datos!W19)/Datos!W19," - ")</f>
        <v>0.24010554089709762</v>
      </c>
      <c r="G19" s="804">
        <f>IF(ISNUMBER((Datos!N19-Datos!X19)/Datos!X19),(Datos!N19-Datos!X19)/Datos!X19," - ")</f>
        <v>-0.18636003172085647</v>
      </c>
      <c r="H19" s="805">
        <f>IF(ISNUMBER((Tasas!B19-Datos!BD19)/Datos!BD19),(Tasas!B19-Datos!BD19)/Datos!BD19," - ")</f>
        <v>7.9385461478251283E-3</v>
      </c>
      <c r="I19" s="806">
        <f>IF(ISNUMBER((Tasas!C19-Datos!BE19)/Datos!BE19),(Tasas!C19-Datos!BE19)/Datos!BE19," - ")</f>
        <v>0.15724729218983852</v>
      </c>
      <c r="J19" s="807">
        <f>IF(ISNUMBER((Tasas!D19-Datos!BF19)/Datos!BF19),(Tasas!D19-Datos!BF19)/Datos!BF19," - ")</f>
        <v>-0.35066827356713615</v>
      </c>
      <c r="K19" s="807">
        <f>IF(ISNUMBER((Tasas!E19-Datos!BG19)/Datos!BG19),(Tasas!E19-Datos!BG19)/Datos!BG19," - ")</f>
        <v>0.10913895994625789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kr92rj80f8ntjyGWar+c5GXgltKAw/IZiBPbA+VGREV5ghVzjg4jLgYDrMiidoOUhMtpCDhJKNibWJMvZTsJw==" saltValue="mgO6prxZFzJwLl3jkE87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ALGECIRAS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0.90681173131504256</v>
      </c>
      <c r="C9" s="443">
        <f>IF(ISNUMBER(NºAsuntos!I9/NºAsuntos!G9),NºAsuntos!I9/NºAsuntos!G9," - ")</f>
        <v>2.9786124152321336</v>
      </c>
      <c r="D9" s="444">
        <f>IF(ISNUMBER('Resol  Asuntos'!D9/NºAsuntos!G9),'Resol  Asuntos'!D9/NºAsuntos!G9," - ")</f>
        <v>0.18779342723004694</v>
      </c>
      <c r="E9" s="445">
        <f>IF(ISNUMBER((NºAsuntos!C9+NºAsuntos!E9)/NºAsuntos!G9),(NºAsuntos!C9+NºAsuntos!E9)/NºAsuntos!G9," - ")</f>
        <v>3.9780907668231613</v>
      </c>
      <c r="G9" s="463"/>
    </row>
    <row r="10" spans="1:7">
      <c r="A10" s="402" t="str">
        <f>Datos!A10</f>
        <v>Jdos. Violencia contra la mujer</v>
      </c>
      <c r="B10" s="442">
        <f>IF(ISNUMBER(NºAsuntos!G10/NºAsuntos!E10),NºAsuntos!G10/NºAsuntos!E10," - ")</f>
        <v>0.86274509803921573</v>
      </c>
      <c r="C10" s="443">
        <f>IF(ISNUMBER(NºAsuntos!I10/NºAsuntos!G10),NºAsuntos!I10/NºAsuntos!G10," - ")</f>
        <v>3.5681818181818183</v>
      </c>
      <c r="D10" s="444">
        <f>IF(ISNUMBER('Resol  Asuntos'!D10/NºAsuntos!G10),'Resol  Asuntos'!D10/NºAsuntos!G10," - ")</f>
        <v>0.56818181818181823</v>
      </c>
      <c r="E10" s="445">
        <f>IF(ISNUMBER((NºAsuntos!C10+NºAsuntos!E10)/NºAsuntos!G10),(NºAsuntos!C10+NºAsuntos!E10)/NºAsuntos!G10," - ")</f>
        <v>4.5681818181818183</v>
      </c>
      <c r="G10" s="463"/>
    </row>
    <row r="11" spans="1:7">
      <c r="A11" s="402" t="str">
        <f>Datos!A11</f>
        <v xml:space="preserve">Jdos. Familia                                   </v>
      </c>
      <c r="B11" s="442">
        <f>IF(ISNUMBER(NºAsuntos!G11/NºAsuntos!E11),NºAsuntos!G11/NºAsuntos!E11," - ")</f>
        <v>0.89261744966442957</v>
      </c>
      <c r="C11" s="443">
        <f>IF(ISNUMBER(NºAsuntos!I11/NºAsuntos!G11),NºAsuntos!I11/NºAsuntos!G11," - ")</f>
        <v>3.1954887218045114</v>
      </c>
      <c r="D11" s="444">
        <f>IF(ISNUMBER('Resol  Asuntos'!D11/NºAsuntos!G11),'Resol  Asuntos'!D11/NºAsuntos!G11," - ")</f>
        <v>0.22556390977443608</v>
      </c>
      <c r="E11" s="445">
        <f>IF(ISNUMBER((NºAsuntos!C11+NºAsuntos!E11)/NºAsuntos!G11),(NºAsuntos!C11+NºAsuntos!E11)/NºAsuntos!G11," - ")</f>
        <v>4.1954887218045114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0.90418189200162402</v>
      </c>
      <c r="C13" s="859">
        <f>IF(ISNUMBER(NºAsuntos!I13/NºAsuntos!G13),NºAsuntos!I13/NºAsuntos!G13," - ")</f>
        <v>3.0161652447238438</v>
      </c>
      <c r="D13" s="860">
        <f>IF(ISNUMBER('Resol  Asuntos'!D13/NºAsuntos!G13),'Resol  Asuntos'!D13/NºAsuntos!G13," - ")</f>
        <v>0.19982038616973508</v>
      </c>
      <c r="E13" s="861">
        <f>IF(ISNUMBER((NºAsuntos!C13+NºAsuntos!E13)/NºAsuntos!G13),(NºAsuntos!C13+NºAsuntos!E13)/NºAsuntos!G13," - ")</f>
        <v>4.0157162101481818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1.0478468899521531</v>
      </c>
      <c r="C15" s="443">
        <f>IF(ISNUMBER(NºAsuntos!I15/NºAsuntos!G15),NºAsuntos!I15/NºAsuntos!G15," - ")</f>
        <v>0.99898528665651953</v>
      </c>
      <c r="D15" s="444">
        <f>IF(ISNUMBER('Resol  Asuntos'!D15/NºAsuntos!G15),'Resol  Asuntos'!D15/NºAsuntos!G15," - ")</f>
        <v>0.18873668188736681</v>
      </c>
      <c r="E15" s="445">
        <f>IF(ISNUMBER((NºAsuntos!C15+NºAsuntos!E15)/NºAsuntos!G15),(NºAsuntos!C15+NºAsuntos!E15)/NºAsuntos!G15," - ")</f>
        <v>1.9989852866565194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0.97560975609756095</v>
      </c>
      <c r="C17" s="443">
        <f>IF(ISNUMBER(NºAsuntos!I17/NºAsuntos!G17),NºAsuntos!I17/NºAsuntos!G17," - ")</f>
        <v>0.18181818181818182</v>
      </c>
      <c r="D17" s="444">
        <f>IF(ISNUMBER('Resol  Asuntos'!D17/NºAsuntos!G17),'Resol  Asuntos'!D17/NºAsuntos!G17," - ")</f>
        <v>0.27954545454545454</v>
      </c>
      <c r="E17" s="445">
        <f>IF(ISNUMBER((NºAsuntos!C17+NºAsuntos!E17)/NºAsuntos!G17),(NºAsuntos!C17+NºAsuntos!E17)/NºAsuntos!G17," - ")</f>
        <v>1.1818181818181819</v>
      </c>
      <c r="G17" s="463"/>
    </row>
    <row r="18" spans="1:7" ht="14.25" thickTop="1" thickBot="1">
      <c r="A18" s="848" t="str">
        <f>Datos!A18</f>
        <v>TOTAL</v>
      </c>
      <c r="B18" s="858">
        <f>IF(ISNUMBER(NºAsuntos!G18/NºAsuntos!E18),NºAsuntos!G18/NºAsuntos!E18," - ")</f>
        <v>1.0338765008576329</v>
      </c>
      <c r="C18" s="859">
        <f>IF(ISNUMBER(NºAsuntos!I18/NºAsuntos!G18),NºAsuntos!I18/NºAsuntos!G18," - ")</f>
        <v>0.84985483201990875</v>
      </c>
      <c r="D18" s="862">
        <f>IF(ISNUMBER('Resol  Asuntos'!D18/NºAsuntos!G18),'Resol  Asuntos'!D18/NºAsuntos!G18," - ")</f>
        <v>0.20530900041476566</v>
      </c>
      <c r="E18" s="861">
        <f>IF(ISNUMBER((NºAsuntos!C18+NºAsuntos!E18)/NºAsuntos!G18),(NºAsuntos!C18+NºAsuntos!E18)/NºAsuntos!G18," - ")</f>
        <v>1.8498548320199089</v>
      </c>
      <c r="G18" s="463"/>
    </row>
    <row r="19" spans="1:7" ht="15.75" customHeight="1" thickTop="1" thickBot="1">
      <c r="A19" s="793" t="str">
        <f>Datos!A19</f>
        <v>TOTAL JURISDICCIONES</v>
      </c>
      <c r="B19" s="808">
        <f>IF(ISNUMBER(NºAsuntos!G19/NºAsuntos!E19),NºAsuntos!G19/NºAsuntos!E19," - ")</f>
        <v>0.96725755995828988</v>
      </c>
      <c r="C19" s="809">
        <f>IF(ISNUMBER(NºAsuntos!I19/NºAsuntos!G19),NºAsuntos!I19/NºAsuntos!G19," - ")</f>
        <v>1.8900388098318242</v>
      </c>
      <c r="D19" s="810">
        <f>IF(ISNUMBER('Resol  Asuntos'!D19/NºAsuntos!G19),'Resol  Asuntos'!D19/NºAsuntos!G19," - ")</f>
        <v>0.20267356619232427</v>
      </c>
      <c r="E19" s="811">
        <f>IF(ISNUMBER((NºAsuntos!C19+NºAsuntos!E19)/NºAsuntos!G19),(NºAsuntos!C19+NºAsuntos!E19)/NºAsuntos!G19," - ")</f>
        <v>2.8898231996550239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qigyBS4XvzG7iOvPzBR68ut1p4EWc7UTvOuSFsps4tuDQViyWGUjVEpD8oQMAxB28KdTUrATWgtoN5Wm3jd+A==" saltValue="ERe9Lg1MRuw8JxJJsiFr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ALGECIRAS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4</v>
      </c>
      <c r="B9" s="177" t="s">
        <v>246</v>
      </c>
      <c r="C9" s="160" t="str">
        <f>Datos!A9</f>
        <v xml:space="preserve">Jdos. 1ª Instancia   </v>
      </c>
      <c r="D9" s="160"/>
      <c r="E9" s="1025">
        <f>IF(ISNUMBER(Datos!AQ9),Datos!AQ9," - ")</f>
        <v>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449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254</v>
      </c>
      <c r="Y9" s="334">
        <f>SUM(W9:X9)</f>
        <v>254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8929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360</v>
      </c>
      <c r="AJ9" s="229" t="str">
        <f>IF(ISNUMBER(Datos!BW9),Datos!BW9," - ")</f>
        <v xml:space="preserve"> - </v>
      </c>
      <c r="AK9" s="228" t="str">
        <f>IF(ISNUMBER(Datos!BX9),Datos!BX9," - ")</f>
        <v xml:space="preserve"> - </v>
      </c>
      <c r="AL9" s="243">
        <f>IF(ISNUMBER(NºAsuntos!G9/NºAsuntos!E9),NºAsuntos!G9/NºAsuntos!E9," - ")</f>
        <v>0.90681173131504256</v>
      </c>
      <c r="AM9" s="260">
        <f>IF(ISNUMBER(((NºAsuntos!I9/NºAsuntos!G9)*11)/factor_trimestre),((NºAsuntos!I9/NºAsuntos!G9)*11)/factor_trimestre," - ")</f>
        <v>5.9572248304642672</v>
      </c>
      <c r="AN9" s="244">
        <f>IF(ISNUMBER('Resol  Asuntos'!D9/NºAsuntos!G9),'Resol  Asuntos'!D9/NºAsuntos!G9," - ")</f>
        <v>0.18779342723004694</v>
      </c>
      <c r="AO9" s="245">
        <f>IF(ISNUMBER((NºAsuntos!C9+NºAsuntos!E9)/NºAsuntos!G9),(NºAsuntos!C9+NºAsuntos!E9)/NºAsuntos!G9," - ")</f>
        <v>3.9780907668231613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150</v>
      </c>
      <c r="G10" s="333">
        <f>IF(ISNUMBER(Datos!I10),Datos!I10," - ")</f>
        <v>150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44</v>
      </c>
      <c r="X10" s="226">
        <f>IF(ISNUMBER(Datos!Q10),Datos!Q10," - ")</f>
        <v>2</v>
      </c>
      <c r="Y10" s="334">
        <f t="shared" ref="Y10:Y12" si="0">SUM(W10:X10)</f>
        <v>46</v>
      </c>
      <c r="Z10" s="335" t="str">
        <f>IF(ISNUMBER(Datos!CC10),Datos!CC10," - ")</f>
        <v xml:space="preserve"> - </v>
      </c>
      <c r="AA10" s="332">
        <f>IF(ISNUMBER(Datos!L10),Datos!L10,"-")</f>
        <v>157</v>
      </c>
      <c r="AB10" s="334">
        <f>IF(ISNUMBER(Datos!R10),Datos!R10," - ")</f>
        <v>84</v>
      </c>
      <c r="AC10" s="334">
        <f t="shared" ref="AC10:AC12" si="1">IF(ISNUMBER(AA10+AB10),AA10+AB10," - ")</f>
        <v>241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25</v>
      </c>
      <c r="AJ10" s="231" t="str">
        <f>IF(ISNUMBER(Datos!BW10),Datos!BW10," - ")</f>
        <v xml:space="preserve"> - </v>
      </c>
      <c r="AK10" s="232" t="str">
        <f>IF(ISNUMBER(Datos!BX10),Datos!BX10," - ")</f>
        <v xml:space="preserve"> - </v>
      </c>
      <c r="AL10" s="243">
        <f>IF(ISNUMBER(NºAsuntos!G10/NºAsuntos!E10),NºAsuntos!G10/NºAsuntos!E10," - ")</f>
        <v>0.86274509803921573</v>
      </c>
      <c r="AM10" s="260">
        <f>IF(ISNUMBER(((NºAsuntos!I10/NºAsuntos!G10)*11)/factor_trimestre),((NºAsuntos!I10/NºAsuntos!G10)*11)/factor_trimestre," - ")</f>
        <v>7.1363636363636367</v>
      </c>
      <c r="AN10" s="244">
        <f>IF(ISNUMBER('Resol  Asuntos'!D10/NºAsuntos!G10),'Resol  Asuntos'!D10/NºAsuntos!G10," - ")</f>
        <v>0.56818181818181823</v>
      </c>
      <c r="AO10" s="245">
        <f>IF(ISNUMBER((NºAsuntos!C10+NºAsuntos!E10)/NºAsuntos!G10),(NºAsuntos!C10+NºAsuntos!E10)/NºAsuntos!G10," - ")</f>
        <v>4.5681818181818183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22</v>
      </c>
      <c r="Y11" s="334">
        <f t="shared" si="0"/>
        <v>22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485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60</v>
      </c>
      <c r="AJ11" s="231" t="str">
        <f>IF(ISNUMBER(Datos!BW11),Datos!BW11," - ")</f>
        <v xml:space="preserve"> - </v>
      </c>
      <c r="AK11" s="232" t="str">
        <f>IF(ISNUMBER(Datos!BX11),Datos!BX11," - ")</f>
        <v xml:space="preserve"> - </v>
      </c>
      <c r="AL11" s="243">
        <f>IF(ISNUMBER(NºAsuntos!G11/NºAsuntos!E11),NºAsuntos!G11/NºAsuntos!E11," - ")</f>
        <v>0.89261744966442957</v>
      </c>
      <c r="AM11" s="260">
        <f>IF(ISNUMBER(((NºAsuntos!I11/NºAsuntos!G11)*11)/factor_trimestre),((NºAsuntos!I11/NºAsuntos!G11)*11)/factor_trimestre," - ")</f>
        <v>6.3909774436090228</v>
      </c>
      <c r="AN11" s="244">
        <f>IF(ISNUMBER('Resol  Asuntos'!D11/NºAsuntos!G11),'Resol  Asuntos'!D11/NºAsuntos!G11," - ")</f>
        <v>0.22556390977443608</v>
      </c>
      <c r="AO11" s="245">
        <f>IF(ISNUMBER((NºAsuntos!C11+NºAsuntos!E11)/NºAsuntos!G11),(NºAsuntos!C11+NºAsuntos!E11)/NºAsuntos!G11," - ")</f>
        <v>4.1954887218045114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150</v>
      </c>
      <c r="G13" s="866">
        <f t="shared" si="3"/>
        <v>150</v>
      </c>
      <c r="H13" s="865">
        <f t="shared" si="3"/>
        <v>0</v>
      </c>
      <c r="I13" s="867">
        <f t="shared" si="3"/>
        <v>0</v>
      </c>
      <c r="J13" s="867">
        <f t="shared" si="3"/>
        <v>0</v>
      </c>
      <c r="K13" s="867">
        <f t="shared" si="3"/>
        <v>0</v>
      </c>
      <c r="L13" s="867">
        <f t="shared" si="3"/>
        <v>503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44</v>
      </c>
      <c r="X13" s="867">
        <f t="shared" si="4"/>
        <v>278</v>
      </c>
      <c r="Y13" s="868">
        <f t="shared" si="4"/>
        <v>322</v>
      </c>
      <c r="Z13" s="868">
        <f t="shared" si="4"/>
        <v>0</v>
      </c>
      <c r="AA13" s="868">
        <f t="shared" si="4"/>
        <v>157</v>
      </c>
      <c r="AB13" s="868">
        <f t="shared" si="4"/>
        <v>9498</v>
      </c>
      <c r="AC13" s="868">
        <f t="shared" si="4"/>
        <v>241</v>
      </c>
      <c r="AD13" s="868">
        <f t="shared" si="4"/>
        <v>0</v>
      </c>
      <c r="AE13" s="872">
        <f t="shared" si="4"/>
        <v>0</v>
      </c>
      <c r="AF13" s="865">
        <f t="shared" si="4"/>
        <v>0</v>
      </c>
      <c r="AG13" s="873">
        <f t="shared" si="4"/>
        <v>0</v>
      </c>
      <c r="AH13" s="870">
        <f t="shared" si="4"/>
        <v>0</v>
      </c>
      <c r="AI13" s="865">
        <f t="shared" si="4"/>
        <v>445</v>
      </c>
      <c r="AJ13" s="867">
        <f t="shared" si="4"/>
        <v>0</v>
      </c>
      <c r="AK13" s="870">
        <f>SUBTOTAL(9,AK9:AK12)</f>
        <v>0</v>
      </c>
      <c r="AL13" s="874">
        <f>IF(ISNUMBER(NºAsuntos!G13/NºAsuntos!E13),NºAsuntos!G13/NºAsuntos!E13," - ")</f>
        <v>0.90418189200162402</v>
      </c>
      <c r="AM13" s="874">
        <f>IF(ISNUMBER(((NºAsuntos!I13/NºAsuntos!G13)*11)/factor_trimestre),((NºAsuntos!I13/NºAsuntos!G13)*11)/factor_trimestre," - ")</f>
        <v>6.0323304894476877</v>
      </c>
      <c r="AN13" s="875">
        <f>IF(ISNUMBER('Resol  Asuntos'!D13/NºAsuntos!G13),'Resol  Asuntos'!D13/NºAsuntos!G13," - ")</f>
        <v>0.19982038616973508</v>
      </c>
      <c r="AO13" s="876">
        <f>IF(ISNUMBER((NºAsuntos!C13+NºAsuntos!E13)/NºAsuntos!G13),(NºAsuntos!C13+NºAsuntos!E13)/NºAsuntos!G13," - ")</f>
        <v>4.0157162101481818</v>
      </c>
      <c r="AP13" s="877" t="str">
        <f t="shared" si="2"/>
        <v xml:space="preserve"> - </v>
      </c>
      <c r="AQ13" s="877">
        <f>IF(ISNUMBER((H13-W13+K13)/(F13)),(H13-W13+K13)/(F13)," - ")</f>
        <v>-0.29333333333333333</v>
      </c>
      <c r="AR13" s="878">
        <f>IF(ISNUMBER((Datos!P13-Datos!Q13)/(Datos!R13-Datos!P13+Datos!Q13)),(Datos!P13-Datos!Q13)/(Datos!R13-Datos!P13+Datos!Q13)," - ")</f>
        <v>2.4263992235522485E-2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2059</v>
      </c>
      <c r="G15" s="333">
        <f>IF(ISNUMBER(IF(D_I="SI",Datos!I15,Datos!I15+Datos!AC15)),IF(D_I="SI",Datos!I15,Datos!I15+Datos!AC15)," - ")</f>
        <v>2059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1971</v>
      </c>
      <c r="X15" s="226">
        <f>IF(ISNUMBER(Datos!Q15),Datos!Q15," - ")</f>
        <v>65</v>
      </c>
      <c r="Y15" s="334">
        <f>SUM(W15)</f>
        <v>1971</v>
      </c>
      <c r="Z15" s="335" t="str">
        <f>IF(ISNUMBER(Datos!CC15),Datos!CC15," - ")</f>
        <v xml:space="preserve"> - </v>
      </c>
      <c r="AA15" s="332">
        <f>IF(ISNUMBER(IF(D_I="SI",Datos!L15,Datos!L15+Datos!AF15)),IF(D_I="SI",Datos!L15,Datos!L15+Datos!AF15)," - ")</f>
        <v>1969</v>
      </c>
      <c r="AB15" s="334">
        <f>IF(ISNUMBER(Datos!R15),Datos!R15," - ")</f>
        <v>399</v>
      </c>
      <c r="AC15" s="334">
        <f t="shared" ref="AC15:AC17" si="6">IF(ISNUMBER(AA15+AB15),AA15+AB15," - ")</f>
        <v>2368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372</v>
      </c>
      <c r="AJ15" s="231" t="str">
        <f>IF(ISNUMBER(Datos!BW15),Datos!BW15," - ")</f>
        <v xml:space="preserve"> - </v>
      </c>
      <c r="AK15" s="232" t="str">
        <f>IF(ISNUMBER(Datos!BX15),Datos!BX15," - ")</f>
        <v xml:space="preserve"> - </v>
      </c>
      <c r="AL15" s="243">
        <f>IF(ISNUMBER(NºAsuntos!G15/NºAsuntos!E15),NºAsuntos!G15/NºAsuntos!E15," - ")</f>
        <v>1.0478468899521531</v>
      </c>
      <c r="AM15" s="260">
        <f>IF(ISNUMBER(((NºAsuntos!I15/NºAsuntos!G15)*11)/factor_trimestre),((NºAsuntos!I15/NºAsuntos!G15)*11)/factor_trimestre," - ")</f>
        <v>1.9979705733130393</v>
      </c>
      <c r="AN15" s="244">
        <f>IF(ISNUMBER('Resol  Asuntos'!D15/NºAsuntos!G15),'Resol  Asuntos'!D15/NºAsuntos!G15," - ")</f>
        <v>0.18873668188736681</v>
      </c>
      <c r="AO15" s="245">
        <f>IF(ISNUMBER((NºAsuntos!C15+NºAsuntos!E15)/NºAsuntos!G15),(NºAsuntos!C15+NºAsuntos!E15)/NºAsuntos!G15," - ")</f>
        <v>1.9989852866565194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440</v>
      </c>
      <c r="X17" s="226">
        <f>IF(ISNUMBER(Datos!Q17),Datos!Q17," - ")</f>
        <v>0</v>
      </c>
      <c r="Y17" s="334">
        <f t="shared" si="7"/>
        <v>440</v>
      </c>
      <c r="Z17" s="335" t="str">
        <f>IF(ISNUMBER(Datos!CC17),Datos!CC17," - ")</f>
        <v xml:space="preserve"> - </v>
      </c>
      <c r="AA17" s="332">
        <f>IF(ISNUMBER(Datos!L17),Datos!L17,"-")</f>
        <v>80</v>
      </c>
      <c r="AB17" s="334">
        <f>IF(ISNUMBER(Datos!R17),Datos!R17," - ")</f>
        <v>28</v>
      </c>
      <c r="AC17" s="334">
        <f t="shared" si="6"/>
        <v>108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123</v>
      </c>
      <c r="AJ17" s="231" t="str">
        <f>IF(ISNUMBER(Datos!BW17),Datos!BW17," - ")</f>
        <v xml:space="preserve"> - </v>
      </c>
      <c r="AK17" s="232" t="str">
        <f>IF(ISNUMBER(Datos!BX17),Datos!BX17," - ")</f>
        <v xml:space="preserve"> - </v>
      </c>
      <c r="AL17" s="243">
        <f>IF(ISNUMBER(NºAsuntos!G17/NºAsuntos!E17),NºAsuntos!G17/NºAsuntos!E17," - ")</f>
        <v>0.97560975609756095</v>
      </c>
      <c r="AM17" s="260">
        <f>IF(ISNUMBER(((NºAsuntos!I17/NºAsuntos!G17)*11)/factor_trimestre),((NºAsuntos!I17/NºAsuntos!G17)*11)/factor_trimestre," - ")</f>
        <v>0.36363636363636365</v>
      </c>
      <c r="AN17" s="244">
        <f>IF(ISNUMBER('Resol  Asuntos'!D17/NºAsuntos!G17),'Resol  Asuntos'!D17/NºAsuntos!G17," - ")</f>
        <v>0.27954545454545454</v>
      </c>
      <c r="AO17" s="245">
        <f>IF(ISNUMBER((NºAsuntos!C17+NºAsuntos!E17)/NºAsuntos!G17),(NºAsuntos!C17+NºAsuntos!E17)/NºAsuntos!G17," - ")</f>
        <v>1.1818181818181819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2059</v>
      </c>
      <c r="G18" s="866">
        <f>SUBTOTAL(9,G15:G17)</f>
        <v>2128</v>
      </c>
      <c r="H18" s="865">
        <f t="shared" ref="H18:O18" si="10">SUBTOTAL(9,H14:H17)</f>
        <v>0</v>
      </c>
      <c r="I18" s="867">
        <f t="shared" si="10"/>
        <v>0</v>
      </c>
      <c r="J18" s="867">
        <f t="shared" si="10"/>
        <v>0</v>
      </c>
      <c r="K18" s="867">
        <f t="shared" si="10"/>
        <v>0</v>
      </c>
      <c r="L18" s="867">
        <f t="shared" si="10"/>
        <v>95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2411</v>
      </c>
      <c r="X18" s="867">
        <f t="shared" si="11"/>
        <v>65</v>
      </c>
      <c r="Y18" s="868">
        <f t="shared" si="11"/>
        <v>2411</v>
      </c>
      <c r="Z18" s="868">
        <f t="shared" si="11"/>
        <v>0</v>
      </c>
      <c r="AA18" s="868">
        <f t="shared" si="11"/>
        <v>2049</v>
      </c>
      <c r="AB18" s="868">
        <f t="shared" si="11"/>
        <v>427</v>
      </c>
      <c r="AC18" s="868">
        <f t="shared" si="11"/>
        <v>2476</v>
      </c>
      <c r="AD18" s="868">
        <f t="shared" si="11"/>
        <v>0</v>
      </c>
      <c r="AE18" s="872">
        <f t="shared" si="11"/>
        <v>0</v>
      </c>
      <c r="AF18" s="865">
        <f t="shared" si="11"/>
        <v>0</v>
      </c>
      <c r="AG18" s="873">
        <f t="shared" si="11"/>
        <v>0</v>
      </c>
      <c r="AH18" s="870">
        <f t="shared" si="11"/>
        <v>0</v>
      </c>
      <c r="AI18" s="865">
        <f t="shared" si="11"/>
        <v>495</v>
      </c>
      <c r="AJ18" s="867">
        <f t="shared" si="11"/>
        <v>0</v>
      </c>
      <c r="AK18" s="870">
        <f t="shared" si="11"/>
        <v>0</v>
      </c>
      <c r="AL18" s="874">
        <f>IF(ISNUMBER(NºAsuntos!G18/NºAsuntos!E18),NºAsuntos!G18/NºAsuntos!E18," - ")</f>
        <v>1.0338765008576329</v>
      </c>
      <c r="AM18" s="874">
        <f>IF(ISNUMBER(((NºAsuntos!I18/NºAsuntos!G18)*11)/factor_trimestre),((NºAsuntos!I18/NºAsuntos!G18)*11)/factor_trimestre," - ")</f>
        <v>1.6997096640398175</v>
      </c>
      <c r="AN18" s="875">
        <f>IF(ISNUMBER('Resol  Asuntos'!D18/NºAsuntos!G18),'Resol  Asuntos'!D18/NºAsuntos!G18," - ")</f>
        <v>0.20530900041476566</v>
      </c>
      <c r="AO18" s="876">
        <f>IF(ISNUMBER((NºAsuntos!C18+NºAsuntos!E18)/NºAsuntos!G18),(NºAsuntos!C18+NºAsuntos!E18)/NºAsuntos!G18," - ")</f>
        <v>1.8498548320199089</v>
      </c>
      <c r="AP18" s="877" t="str">
        <f t="shared" si="2"/>
        <v xml:space="preserve"> - </v>
      </c>
      <c r="AQ18" s="877">
        <f>IF(ISNUMBER((H18-W18+K18)/(F18)),(H18-W18+K18)/(F18)," - ")</f>
        <v>-1.1709567751335599</v>
      </c>
      <c r="AR18" s="878">
        <f>IF(ISNUMBER((Datos!P18-Datos!Q18)/(Datos!R18-Datos!P18+Datos!Q18)),(Datos!P18-Datos!Q18)/(Datos!R18-Datos!P18+Datos!Q18)," - ")</f>
        <v>7.5566750629722929E-2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2209</v>
      </c>
      <c r="G19" s="821">
        <f t="shared" si="13"/>
        <v>2278</v>
      </c>
      <c r="H19" s="820">
        <f t="shared" si="13"/>
        <v>0</v>
      </c>
      <c r="I19" s="822">
        <f t="shared" si="13"/>
        <v>0</v>
      </c>
      <c r="J19" s="822">
        <f t="shared" si="13"/>
        <v>0</v>
      </c>
      <c r="K19" s="881">
        <f t="shared" si="13"/>
        <v>0</v>
      </c>
      <c r="L19" s="822">
        <f t="shared" si="13"/>
        <v>598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2455</v>
      </c>
      <c r="X19" s="821">
        <f t="shared" si="14"/>
        <v>343</v>
      </c>
      <c r="Y19" s="828">
        <f t="shared" si="14"/>
        <v>2733</v>
      </c>
      <c r="Z19" s="828">
        <f t="shared" si="14"/>
        <v>0</v>
      </c>
      <c r="AA19" s="828">
        <f t="shared" si="14"/>
        <v>2206</v>
      </c>
      <c r="AB19" s="828">
        <f t="shared" si="14"/>
        <v>9925</v>
      </c>
      <c r="AC19" s="828">
        <f t="shared" si="14"/>
        <v>2717</v>
      </c>
      <c r="AD19" s="828">
        <f t="shared" si="14"/>
        <v>0</v>
      </c>
      <c r="AE19" s="830">
        <f t="shared" si="14"/>
        <v>0</v>
      </c>
      <c r="AF19" s="831">
        <f t="shared" si="14"/>
        <v>0</v>
      </c>
      <c r="AG19" s="832">
        <f t="shared" si="14"/>
        <v>0</v>
      </c>
      <c r="AH19" s="830">
        <f t="shared" si="14"/>
        <v>0</v>
      </c>
      <c r="AI19" s="820">
        <f t="shared" si="14"/>
        <v>940</v>
      </c>
      <c r="AJ19" s="820">
        <f t="shared" si="14"/>
        <v>0</v>
      </c>
      <c r="AK19" s="830">
        <f t="shared" si="14"/>
        <v>0</v>
      </c>
      <c r="AL19" s="884">
        <f>IF(ISNUMBER(NºAsuntos!G19/NºAsuntos!E19),NºAsuntos!G19/NºAsuntos!E19," - ")</f>
        <v>0.96725755995828988</v>
      </c>
      <c r="AM19" s="885">
        <f>IF(ISNUMBER(((NºAsuntos!I19/NºAsuntos!G19)*11)/factor_trimestre),((NºAsuntos!I19/NºAsuntos!G19)*11)/factor_trimestre," - ")</f>
        <v>3.7800776196636487</v>
      </c>
      <c r="AN19" s="885">
        <f>IF(ISNUMBER('Resol  Asuntos'!D19/NºAsuntos!G19),'Resol  Asuntos'!D19/NºAsuntos!G19," - ")</f>
        <v>0.20267356619232427</v>
      </c>
      <c r="AO19" s="886">
        <f>IF(ISNUMBER((NºAsuntos!C19+NºAsuntos!E19)/NºAsuntos!G19),(NºAsuntos!C19+NºAsuntos!E19)/NºAsuntos!G19," - ")</f>
        <v>2.8898231996550239</v>
      </c>
      <c r="AP19" s="887" t="str">
        <f t="shared" si="2"/>
        <v xml:space="preserve"> - </v>
      </c>
      <c r="AQ19" s="888">
        <f>IF(OR(ISNUMBER(FIND("01",Criterios!A8,1)),ISNUMBER(FIND("02",Criterios!A8,1)),ISNUMBER(FIND("03",Criterios!A8,1)),ISNUMBER(FIND("04",Criterios!A8,1))),(I19-W19+K19)/(F19-K19),(H19-W19+K19)/(F19-K19))</f>
        <v>-1.1113626075147125</v>
      </c>
      <c r="AR19" s="889">
        <f>IF(ISNUMBER((Datos!P19-Datos!Q19)/(Datos!R19-Datos!P19+Datos!Q19)),(Datos!P19-Datos!Q19)/(Datos!R19-Datos!P19+Datos!Q19)," - ")</f>
        <v>2.6370217166494313E-2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911.2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2.5495097567963922</v>
      </c>
      <c r="F21" s="252">
        <f>IF(ISNUMBER(STDEV(F8:F18)),STDEV(F8:F18),"-")</f>
        <v>1102.1616638829955</v>
      </c>
      <c r="G21" s="253">
        <f>IF(ISNUMBER(STDEV(G8:G18)),STDEV(G8:G18),"-")</f>
        <v>1080.0693033319667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1126.23421187602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193.85291429574221</v>
      </c>
      <c r="AJ21" s="252">
        <f t="shared" si="18"/>
        <v>0</v>
      </c>
      <c r="AK21" s="254">
        <f t="shared" si="18"/>
        <v>0</v>
      </c>
      <c r="AL21" s="249">
        <f t="shared" si="18"/>
        <v>7.3071823464969141E-2</v>
      </c>
      <c r="AM21" s="250">
        <f t="shared" si="18"/>
        <v>2.7592698876216888</v>
      </c>
      <c r="AN21" s="250">
        <f t="shared" si="18"/>
        <v>0.13740107717172598</v>
      </c>
      <c r="AO21" s="251">
        <f t="shared" si="18"/>
        <v>1.3795313870771864</v>
      </c>
      <c r="AP21" s="291" t="str">
        <f t="shared" si="18"/>
        <v>-</v>
      </c>
      <c r="AQ21" s="292">
        <f t="shared" si="18"/>
        <v>0.62057348702521742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yspWi10VJTa+NZdOz7okY1iXgsqkbuHr8Ni2Pa+//qJ4QxJTjDcz23AVsIVlubUaoNwDnzsmT1pi0DQa5/UfZw==" saltValue="nuh5RPtPxgajxKgZeTXQy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ALGECIRAS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1.0930232558139534</v>
      </c>
      <c r="I9" s="350">
        <f>IF(ISNUMBER((Tasas!C9-Datos!BE9)/Datos!BE9),(Tasas!C9-Datos!BE9)/Datos!BE9," - ")</f>
        <v>7.2694894395492982E-2</v>
      </c>
      <c r="J9" s="349">
        <f>IF(ISNUMBER((Tasas!D9-Datos!BF9)/Datos!BF9),(Tasas!D9-Datos!BF9)/Datos!BF9," - ")</f>
        <v>-0.67125357509038908</v>
      </c>
      <c r="K9" s="351">
        <f>IF(ISNUMBER((Tasas!E9-Datos!BG9)/Datos!BG9),(Tasas!E9-Datos!BG9)/Datos!BG9," - ")</f>
        <v>5.3308803524282855E-2</v>
      </c>
      <c r="M9" t="e">
        <f>IF(Monitorios="SI",Datos!CE9,0)</f>
        <v>#REF!</v>
      </c>
      <c r="N9" t="e">
        <f>IF(Monitorios="SI",Datos!CF9,0)</f>
        <v>#REF!</v>
      </c>
      <c r="O9" t="e">
        <f>IF(Monitorios="SI",Datos!CG9,0)</f>
        <v>#REF!</v>
      </c>
      <c r="P9" t="e">
        <f>IF(Monitorios="SI",Datos!CH9,0)</f>
        <v>#REF!</v>
      </c>
      <c r="Q9">
        <f>IF(J_V="SI",0,Datos!AG9)</f>
        <v>42</v>
      </c>
      <c r="R9">
        <f>IF(J_V="SI",0,Datos!AH9)</f>
        <v>45</v>
      </c>
      <c r="S9">
        <f>IF(J_V="SI",0,Datos!AI9)</f>
        <v>48</v>
      </c>
      <c r="T9">
        <f>IF(J_V="SI",0,Datos!AJ9)</f>
        <v>39</v>
      </c>
    </row>
    <row r="10" spans="2:20" ht="14.25">
      <c r="B10" s="275" t="s">
        <v>246</v>
      </c>
      <c r="C10" s="7" t="str">
        <f>Datos!A10</f>
        <v>Jdos. Violencia contra la mujer</v>
      </c>
      <c r="D10" s="352">
        <f>IF(ISNUMBER((Datos!I10-Datos!S10)/Datos!S10),(Datos!I10-Datos!S10)/Datos!S10," - ")</f>
        <v>-0.14772727272727273</v>
      </c>
      <c r="E10" s="348">
        <f>IF(ISNUMBER((Datos!J10-Datos!T10)/Datos!T10),(Datos!J10-Datos!T10)/Datos!T10," - ")</f>
        <v>0.8214285714285714</v>
      </c>
      <c r="F10" s="348">
        <f>IF(ISNUMBER((Datos!K10-Datos!U10)/Datos!U10),(Datos!K10-Datos!U10)/Datos!U10," - ")</f>
        <v>2.3255813953488372E-2</v>
      </c>
      <c r="G10" s="349">
        <f>IF(ISNUMBER((Datos!L10-Datos!V10)/Datos!V10),(Datos!L10-Datos!V10)/Datos!V10," - ")</f>
        <v>-2.4844720496894408E-2</v>
      </c>
      <c r="H10" s="230">
        <f>IF(ISNUMBER((Datos!M10-Datos!W10)/Datos!W10),(Datos!M10-Datos!W10)/Datos!W10," - ")</f>
        <v>4.1666666666666664E-2</v>
      </c>
      <c r="I10" s="350">
        <f>IF(ISNUMBER((Tasas!C10-Datos!BE10)/Datos!BE10),(Tasas!C10-Datos!BE10)/Datos!BE10," - ")</f>
        <v>-4.7007340485601311E-2</v>
      </c>
      <c r="J10" s="349">
        <f>IF(ISNUMBER((Tasas!D10-Datos!BF10)/Datos!BF10),(Tasas!D10-Datos!BF10)/Datos!BF10," - ")</f>
        <v>1.7992424242424348E-2</v>
      </c>
      <c r="K10" s="351">
        <f>IF(ISNUMBER((Tasas!E10-Datos!BG10)/Datos!BG10),(Tasas!E10-Datos!BG10)/Datos!BG10," - ")</f>
        <v>-3.7098930481283474E-2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-0.40594059405940597</v>
      </c>
      <c r="I11" s="350">
        <f>IF(ISNUMBER((Tasas!C11-Datos!BE11)/Datos!BE11),(Tasas!C11-Datos!BE11)/Datos!BE11," - ")</f>
        <v>0.31641395848425063</v>
      </c>
      <c r="J11" s="349">
        <f>IF(ISNUMBER((Tasas!D11-Datos!BF11)/Datos!BF11),(Tasas!D11-Datos!BF11)/Datos!BF11," - ")</f>
        <v>-0.21579650059728772</v>
      </c>
      <c r="K11" s="351">
        <f>IF(ISNUMBER((Tasas!E11-Datos!BG11)/Datos!BG11),(Tasas!E11-Datos!BG11)/Datos!BG11," - ")</f>
        <v>0.22409553295002219</v>
      </c>
      <c r="M11" t="e">
        <f>IF(Monitorios="SI",Datos!CE11,0)</f>
        <v>#REF!</v>
      </c>
      <c r="N11" t="e">
        <f>IF(Monitorios="SI",Datos!CF11,0)</f>
        <v>#REF!</v>
      </c>
      <c r="O11" t="e">
        <f>IF(Monitorios="SI",Datos!CG11,0)</f>
        <v>#REF!</v>
      </c>
      <c r="P11" t="e">
        <f>IF(Monitorios="SI",Datos!CH11,0)</f>
        <v>#REF!</v>
      </c>
      <c r="Q11">
        <f>IF(J_V="SI",0,Datos!AG11)</f>
        <v>69</v>
      </c>
      <c r="R11">
        <f>IF(J_V="SI",0,Datos!AH11)</f>
        <v>50</v>
      </c>
      <c r="S11">
        <f>IF(J_V="SI",0,Datos!AI11)</f>
        <v>51</v>
      </c>
      <c r="T11">
        <f>IF(J_V="SI",0,Datos!AJ11)</f>
        <v>68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0.49831649831649832</v>
      </c>
      <c r="I13" s="357">
        <f>IF(ISNUMBER((Tasas!C13-Datos!BE13)/Datos!BE13),(Tasas!C13-Datos!BE13)/Datos!BE13," - ")</f>
        <v>0.10435069795481007</v>
      </c>
      <c r="J13" s="355">
        <f>IF(ISNUMBER((Tasas!D13-Datos!BF13)/Datos!BF13),(Tasas!D13-Datos!BF13)/Datos!BF13," - ")</f>
        <v>-0.61313495664640705</v>
      </c>
      <c r="K13" s="358">
        <f>IF(ISNUMBER((Tasas!E13-Datos!BG13)/Datos!BG13),(Tasas!E13-Datos!BG13)/Datos!BG13," - ")</f>
        <v>7.6263036269834966E-2</v>
      </c>
      <c r="M13" t="e">
        <f>IF(Monitorios="SI",Datos!CE13,0)</f>
        <v>#REF!</v>
      </c>
      <c r="N13" t="e">
        <f>IF(Monitorios="SI",Datos!CF13,0)</f>
        <v>#REF!</v>
      </c>
      <c r="O13" t="e">
        <f>IF(Monitorios="SI",Datos!CG13,0)</f>
        <v>#REF!</v>
      </c>
      <c r="P13" t="e">
        <f>IF(Monitorios="SI",Datos!CH13,0)</f>
        <v>#REF!</v>
      </c>
      <c r="Q13">
        <f>IF(J_V="SI",0,Datos!AG13)</f>
        <v>111</v>
      </c>
      <c r="R13">
        <f>IF(J_V="SI",0,Datos!AH13)</f>
        <v>95</v>
      </c>
      <c r="S13">
        <f>IF(J_V="SI",0,Datos!AI13)</f>
        <v>99</v>
      </c>
      <c r="T13">
        <f>IF(J_V="SI",0,Datos!AJ13)</f>
        <v>107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-2.6017029328287606E-2</v>
      </c>
      <c r="E15" s="348">
        <f>IF(ISNUMBER(
   IF(D_I="SI",(Datos!J15-Datos!T15)/Datos!T15,(Datos!J15+Datos!AD15-(Datos!T15+Datos!AL15))/(Datos!T15+Datos!AL15))
     ),IF(D_I="SI",(Datos!J15-Datos!T15)/Datos!T15,(Datos!J15+Datos!AD15-(Datos!T15+Datos!AL15))/(Datos!T15+Datos!AL15))," - ")</f>
        <v>-0.17788461538461539</v>
      </c>
      <c r="F15" s="348">
        <f>IF(ISNUMBER(
   IF(D_I="SI",(Datos!K15-Datos!U15)/Datos!U15,(Datos!K15+Datos!AE15-(Datos!U15+Datos!AM15))/(Datos!U15+Datos!AM15))
     ),IF(D_I="SI",(Datos!K15-Datos!U15)/Datos!U15,(Datos!K15+Datos!AE15-(Datos!U15+Datos!AM15))/(Datos!U15+Datos!AM15))," - ")</f>
        <v>-0.12361049355269009</v>
      </c>
      <c r="G15" s="349">
        <f>IF(ISNUMBER(
   IF(D_I="SI",(Datos!L15-Datos!V15)/Datos!V15,(Datos!L15+Datos!AF15-(Datos!V15+Datos!AN15))/(Datos!V15+Datos!AN15))
     ),IF(D_I="SI",(Datos!L15-Datos!V15)/Datos!V15,(Datos!L15+Datos!AF15-(Datos!V15+Datos!AN15))/(Datos!V15+Datos!AN15))," - ")</f>
        <v>-0.13716038562664329</v>
      </c>
      <c r="H15" s="230">
        <f>IF(ISNUMBER((Datos!M15-Datos!W15)/Datos!W15),(Datos!M15-Datos!W15)/Datos!W15," - ")</f>
        <v>0.11711711711711711</v>
      </c>
      <c r="I15" s="350">
        <f>IF(ISNUMBER((Tasas!C15-Datos!BE15)/Datos!BE15),(Tasas!C15-Datos!BE15)/Datos!BE15," - ")</f>
        <v>-1.5461038698285457E-2</v>
      </c>
      <c r="J15" s="349">
        <f>IF(ISNUMBER((Tasas!D15-Datos!BF15)/Datos!BF15),(Tasas!D15-Datos!BF15)/Datos!BF15," - ")</f>
        <v>0.27468107376783157</v>
      </c>
      <c r="K15" s="351">
        <f>IF(ISNUMBER((Tasas!E15-Datos!BG15)/Datos!BG15),(Tasas!E15-Datos!BG15)/Datos!BG15," - ")</f>
        <v>2.1289847726149919E-2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-0.08</v>
      </c>
      <c r="E17" s="348">
        <f>IF(ISNUMBER(
   IF(D_I="SI",(Datos!J17-Datos!T17)/Datos!T17,(Datos!J17+Datos!AD17-(Datos!T17+Datos!AL17))/(Datos!T17+Datos!AL17))
     ),IF(D_I="SI",(Datos!J17-Datos!T17)/Datos!T17,(Datos!J17+Datos!AD17-(Datos!T17+Datos!AL17))/(Datos!T17+Datos!AL17))," - ")</f>
        <v>-9.0725806451612906E-2</v>
      </c>
      <c r="F17" s="348">
        <f>IF(ISNUMBER(
   IF(D_I="SI",(Datos!K17-Datos!U17)/Datos!U17,(Datos!K17+Datos!AE17-(Datos!U17+Datos!AM17))/(Datos!U17+Datos!AM17))
     ),IF(D_I="SI",(Datos!K17-Datos!U17)/Datos!U17,(Datos!K17+Datos!AE17-(Datos!U17+Datos!AM17))/(Datos!U17+Datos!AM17))," - ")</f>
        <v>-0.11468812877263582</v>
      </c>
      <c r="G17" s="349">
        <f>IF(ISNUMBER(
   IF(D_I="SI",(Datos!L17-Datos!V17)/Datos!V17,(Datos!L17+Datos!AF17-(Datos!V17+Datos!AN17))/(Datos!V17+Datos!AN17))
     ),IF(D_I="SI",(Datos!L17-Datos!V17)/Datos!V17,(Datos!L17+Datos!AF17-(Datos!V17+Datos!AN17))/(Datos!V17+Datos!AN17))," - ")</f>
        <v>6.6666666666666666E-2</v>
      </c>
      <c r="H17" s="230">
        <f>IF(ISNUMBER((Datos!M17-Datos!W17)/Datos!W17),(Datos!M17-Datos!W17)/Datos!W17," - ")</f>
        <v>-3.90625E-2</v>
      </c>
      <c r="I17" s="350">
        <f>IF(ISNUMBER((Tasas!C17-Datos!BE17)/Datos!BE17),(Tasas!C17-Datos!BE17)/Datos!BE17," - ")</f>
        <v>0.20484848484848497</v>
      </c>
      <c r="J17" s="349">
        <f>IF(ISNUMBER((Tasas!D17-Datos!BF17)/Datos!BF17),(Tasas!D17-Datos!BF17)/Datos!BF17," - ")</f>
        <v>8.5422585227272627E-2</v>
      </c>
      <c r="K17" s="351">
        <f>IF(ISNUMBER((Tasas!E17-Datos!BG17)/Datos!BG17),(Tasas!E17-Datos!BG17)/Datos!BG17," - ")</f>
        <v>2.8657857029135463E-2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-2.7866605756052994E-2</v>
      </c>
      <c r="E18" s="354">
        <f>IF(ISNUMBER(
   IF(D_I="SI",(Datos!J18-Datos!T18)/Datos!T18,(Datos!J18+Datos!AD18-(Datos!T18+Datos!AL18))/(Datos!T18+Datos!AL18))
     ),IF(D_I="SI",(Datos!J18-Datos!T18)/Datos!T18,(Datos!J18+Datos!AD18-(Datos!T18+Datos!AL18))/(Datos!T18+Datos!AL18))," - ")</f>
        <v>-0.16235632183908047</v>
      </c>
      <c r="F18" s="354">
        <f>IF(ISNUMBER(
   IF(D_I="SI",(Datos!K18-Datos!U18)/Datos!U18,(Datos!K18+Datos!AE18-(Datos!U18+Datos!AM18))/(Datos!U18+Datos!AM18))
     ),IF(D_I="SI",(Datos!K18-Datos!U18)/Datos!U18,(Datos!K18+Datos!AE18-(Datos!U18+Datos!AM18))/(Datos!U18+Datos!AM18))," - ")</f>
        <v>-0.12199563000728332</v>
      </c>
      <c r="G18" s="355">
        <f>IF(ISNUMBER(
   IF(D_I="SI",(Datos!L18-Datos!V18)/Datos!V18,(Datos!L18+Datos!AF18-(Datos!V18+Datos!AN18))/(Datos!V18+Datos!AN18))
     ),IF(D_I="SI",(Datos!L18-Datos!V18)/Datos!V18,(Datos!L18+Datos!AF18-(Datos!V18+Datos!AN18))/(Datos!V18+Datos!AN18))," - ")</f>
        <v>-0.13067458633856596</v>
      </c>
      <c r="H18" s="356">
        <f>IF(ISNUMBER((Datos!M18-Datos!W18)/Datos!W18),(Datos!M18-Datos!W18)/Datos!W18," - ")</f>
        <v>7.3752711496746198E-2</v>
      </c>
      <c r="I18" s="357">
        <f>IF(ISNUMBER((Tasas!C18-Datos!BE18)/Datos!BE18),(Tasas!C18-Datos!BE18)/Datos!BE18," - ")</f>
        <v>-9.8848668957703181E-3</v>
      </c>
      <c r="J18" s="355">
        <f>IF(ISNUMBER((Tasas!D18-Datos!BF18)/Datos!BF18),(Tasas!D18-Datos!BF18)/Datos!BF18," - ")</f>
        <v>0.22294688750313779</v>
      </c>
      <c r="K18" s="358">
        <f>IF(ISNUMBER((Tasas!E18-Datos!BG18)/Datos!BG18),(Tasas!E18-Datos!BG18)/Datos!BG18," - ")</f>
        <v>2.1456136884510302E-2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0.1754745322955073</v>
      </c>
      <c r="E19" s="363">
        <f>IF(ISNUMBER(
   IF(J_V="SI",(Datos!J19-Datos!T19)/Datos!T19,(Datos!J19+Datos!Z19-(Datos!T19+Datos!AH19))/(Datos!T19+Datos!AH19))
     ),IF(J_V="SI",(Datos!J19-Datos!T19)/Datos!T19,(Datos!J19+Datos!Z19-(Datos!T19+Datos!AH19))/(Datos!T19+Datos!AH19))," - ")</f>
        <v>-1.7619340299119032E-2</v>
      </c>
      <c r="F19" s="363">
        <f>IF(ISNUMBER(
   IF(J_V="SI",(Datos!K19-Datos!U19)/Datos!U19,(Datos!K19+Datos!AA19-(Datos!U19+Datos!AI19))/(Datos!U19+Datos!AI19))
     ),IF(J_V="SI",(Datos!K19-Datos!U19)/Datos!U19,(Datos!K19+Datos!AA19-(Datos!U19+Datos!AI19))/(Datos!U19+Datos!AI19))," - ")</f>
        <v>-9.8206660973526906E-3</v>
      </c>
      <c r="G19" s="364">
        <f>IF(ISNUMBER(
   IF(J_V="SI",(Datos!L19-Datos!V19)/Datos!V19,(Datos!L19+Datos!AB19-(Datos!V19+Datos!AJ19))/(Datos!V19+Datos!AJ19))
     ),IF(J_V="SI",(Datos!L19-Datos!V19)/Datos!V19,(Datos!L19+Datos!AB19-(Datos!V19+Datos!AJ19))/(Datos!V19+Datos!AJ19))," - ")</f>
        <v>0.14588235294117646</v>
      </c>
      <c r="H19" s="365">
        <f>IF(ISNUMBER((Datos!M19-Datos!W19)/Datos!W19),(Datos!M19-Datos!W19)/Datos!W19," - ")</f>
        <v>0.24010554089709762</v>
      </c>
      <c r="I19" s="362">
        <f>IF(ISNUMBER((Tasas!C19-Datos!BE19)/Datos!BE19),(Tasas!C19-Datos!BE19)/Datos!BE19," - ")</f>
        <v>0.15724729218983852</v>
      </c>
      <c r="J19" s="363">
        <f>IF(ISNUMBER((Tasas!D19-Datos!BF19)/Datos!BF19),(Tasas!D19-Datos!BF19)/Datos!BF19," - ")</f>
        <v>-0.35066827356713615</v>
      </c>
      <c r="K19" s="364">
        <f>IF(ISNUMBER((Tasas!E19-Datos!BG19)/Datos!BG19),(Tasas!E19-Datos!BG19)/Datos!BG19," - ")</f>
        <v>0.10913895994625789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5.7302137217995736E-2</v>
      </c>
      <c r="E21" s="278">
        <f t="shared" si="1"/>
        <v>0.48403287485253249</v>
      </c>
      <c r="F21" s="278">
        <f t="shared" si="1"/>
        <v>7.1781985634657333E-2</v>
      </c>
      <c r="G21" s="279">
        <f t="shared" si="1"/>
        <v>9.6919298944561541E-2</v>
      </c>
      <c r="H21" s="285">
        <f t="shared" si="1"/>
        <v>0.4758521798197301</v>
      </c>
      <c r="I21" s="277">
        <f t="shared" si="1"/>
        <v>0.13217826048561021</v>
      </c>
      <c r="J21" s="278">
        <f t="shared" si="1"/>
        <v>0.38521983788518283</v>
      </c>
      <c r="K21" s="279">
        <f t="shared" si="1"/>
        <v>8.2142864028008453E-2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lx5djuTB/cIn5BL7dmchK2OSD1hx7YX7Q4uKsa0H+uT3Y7ZR5ZhQ4lCLC4b0+tksc32FLhye/NsGjteE+W4uQ==" saltValue="njg8AHhoPqQN7zbDm+in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32.76473656755347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150</v>
      </c>
      <c r="D10" s="225">
        <f>IF(ISNUMBER(Datos!I10),Datos!I10," - ")</f>
        <v>150</v>
      </c>
      <c r="E10" s="226">
        <f>IF(ISNUMBER(Datos!J10),Datos!J10," - ")</f>
        <v>51</v>
      </c>
      <c r="F10" s="226">
        <f>IF(ISNUMBER(Datos!K10),Datos!K10," - ")</f>
        <v>44</v>
      </c>
      <c r="G10" s="1034" t="str">
        <f>IF(Datos!E10&lt;&gt;"",Datos!E10,Datos!D10)</f>
        <v>37</v>
      </c>
      <c r="H10" s="227">
        <f>IF(ISNUMBER(Datos!L10),Datos!L10," - ")</f>
        <v>157</v>
      </c>
      <c r="I10" s="1044" t="str">
        <f>IF(ISNUMBER(Datos!AS10/Datos!BM10),Datos!AS10/Datos!BM10," - ")</f>
        <v xml:space="preserve"> - </v>
      </c>
      <c r="J10" s="1045">
        <f>IF(ISNUMBER(Datos!BY10/Datos!CN10),Datos!BY10/Datos!CN10," - ")</f>
        <v>0</v>
      </c>
      <c r="K10" s="230">
        <f t="shared" ref="K10:K12" si="1">IF(ISNUMBER((E10-F10)/C10),(E10-F10)/C10," - ")</f>
        <v>4.6666666666666669E-2</v>
      </c>
      <c r="L10" s="1025">
        <f>IF(ISNUMBER(NºAsuntos!I10/NºAsuntos!G10),(NºAsuntos!I10/NºAsuntos!G10)*11," - ")</f>
        <v>39.25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35.150375939849624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150</v>
      </c>
      <c r="D13" s="1049">
        <f>SUBTOTAL(9,D9:D12)</f>
        <v>150</v>
      </c>
      <c r="E13" s="1050">
        <f>SUBTOTAL(9,E9:E12)</f>
        <v>51</v>
      </c>
      <c r="F13" s="1051">
        <f>SUBTOTAL(9,F9:F12)</f>
        <v>44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2059</v>
      </c>
      <c r="D15" s="225">
        <f>IF(ISNUMBER(IF(D_I="SI",Datos!I15,Datos!I15+Datos!AC15)),IF(D_I="SI",Datos!I15,Datos!I15+Datos!AC15)," - ")</f>
        <v>2059</v>
      </c>
      <c r="E15" s="226">
        <f>IF(ISNUMBER(IF(D_I="SI",Datos!J15,Datos!J15+Datos!AD15)),IF(D_I="SI",Datos!J15,Datos!J15+Datos!AD15)," - ")</f>
        <v>1881</v>
      </c>
      <c r="F15" s="226">
        <f>IF(ISNUMBER(IF(D_I="SI",Datos!K15,Datos!K15+Datos!AE15)),IF(D_I="SI",Datos!K15,Datos!K15+Datos!AE15)," - ")</f>
        <v>1971</v>
      </c>
      <c r="G15" s="1034" t="str">
        <f>IF(Datos!E15&lt;&gt;"",Datos!E15,Datos!D15)</f>
        <v>03</v>
      </c>
      <c r="H15" s="227">
        <f>IF(ISNUMBER(IF(D_I="SI",Datos!L15,Datos!L15+Datos!AF15)),IF(D_I="SI",Datos!L15,Datos!L15+Datos!AF15)," - ")</f>
        <v>1969</v>
      </c>
      <c r="I15" s="1044" t="str">
        <f>IF(ISNUMBER(Datos!AS15/Datos!BM15),Datos!AS15/Datos!BM15," - ")</f>
        <v xml:space="preserve"> - </v>
      </c>
      <c r="J15" s="1045">
        <f>IF(ISNUMBER(Datos!BY15/Datos!CN15),Datos!BY15/Datos!CN15," - ")</f>
        <v>0</v>
      </c>
      <c r="K15" s="230">
        <f t="shared" ref="K15:K17" si="3">IF(ISNUMBER((E15-F15)/C15),(E15-F15)/C15," - ")</f>
        <v>-4.3710539096648855E-2</v>
      </c>
      <c r="L15" s="1025">
        <f>IF(ISNUMBER(NºAsuntos!I15/NºAsuntos!G15),(NºAsuntos!I15/NºAsuntos!G15)*11," - ")</f>
        <v>10.988838153221716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69</v>
      </c>
      <c r="D17" s="225">
        <f>IF(ISNUMBER(IF(D_I="SI",Datos!I17,Datos!I17+Datos!AC17)),IF(D_I="SI",Datos!I17,Datos!I17+Datos!AC17)," - ")</f>
        <v>69</v>
      </c>
      <c r="E17" s="226">
        <f>IF(ISNUMBER(IF(D_I="SI",Datos!J17,Datos!J17+Datos!AD17)),IF(D_I="SI",Datos!J17,Datos!J17+Datos!AD17)," - ")</f>
        <v>451</v>
      </c>
      <c r="F17" s="226">
        <f>IF(ISNUMBER(IF(D_I="SI",Datos!K17,Datos!K17+Datos!AE17)),IF(D_I="SI",Datos!K17,Datos!K17+Datos!AE17)," - ")</f>
        <v>440</v>
      </c>
      <c r="G17" s="1034" t="str">
        <f>IF(Datos!E17&lt;&gt;"",Datos!E17,Datos!D17)</f>
        <v>37</v>
      </c>
      <c r="H17" s="227">
        <f>IF(ISNUMBER(IF(D_I="SI",Datos!L17,Datos!L17+Datos!AF17)),IF(D_I="SI",Datos!L17,Datos!L17+Datos!AF17)," - ")</f>
        <v>80</v>
      </c>
      <c r="I17" s="1044" t="str">
        <f>IF(ISNUMBER(Datos!AS17/Datos!BM17),Datos!AS17/Datos!BM17," - ")</f>
        <v xml:space="preserve"> - </v>
      </c>
      <c r="J17" s="1045" t="str">
        <f>IF(ISNUMBER((Datos!BY17+Datos!BZ17)/Datos!CN17),(Datos!BY17+Datos!BZ17)/Datos!CN17," - ")</f>
        <v xml:space="preserve"> - </v>
      </c>
      <c r="K17" s="230">
        <f t="shared" si="3"/>
        <v>0.15942028985507245</v>
      </c>
      <c r="L17" s="1025">
        <f>IF(ISNUMBER(NºAsuntos!I17/NºAsuntos!G17),(NºAsuntos!I17/NºAsuntos!G17)*11," - ")</f>
        <v>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2128</v>
      </c>
      <c r="D18" s="1049">
        <f>SUBTOTAL(9,D15:D17)</f>
        <v>2128</v>
      </c>
      <c r="E18" s="1050">
        <f>SUBTOTAL(9,E15:E17)</f>
        <v>2332</v>
      </c>
      <c r="F18" s="1050">
        <f>SUBTOTAL(9,F15:F17)</f>
        <v>2411</v>
      </c>
      <c r="G18" s="1052" t="str">
        <f ca="1">INDIRECT(CONCATENATE("G",ROW()-1))</f>
        <v>37</v>
      </c>
      <c r="H18" s="1053">
        <f ca="1">SUMIF(G$14:G17,G18,H$14:H17)</f>
        <v>80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2278</v>
      </c>
      <c r="D19" s="1071">
        <f>SUBTOTAL(9,D9:D18)</f>
        <v>2278</v>
      </c>
      <c r="E19" s="1072">
        <f>SUBTOTAL(9,E9:E18)</f>
        <v>2383</v>
      </c>
      <c r="F19" s="1072">
        <f>SUBTOTAL(9,F9:F18)</f>
        <v>2455</v>
      </c>
      <c r="G19" s="1073"/>
      <c r="H19" s="1074">
        <f ca="1">SUMIF(B9:B18,"TOTAL",H9:H18)</f>
        <v>80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mvBf6aMbsoQJ2Fo6LOnXlcY4fCTOxJKuVDx4WTDcrWTHB2s3Rii/cEGdGhhTC5dmL9k/z0JSJCzjNrLYI+7Dg==" saltValue="fMej593iX0gj3w6IHgqY4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0ELRWhyhBz5ts4X6eTVpq4z0QcIsLkYp96Ns97Qq918SL/NN14KfbtALTekFkRR67hOxz/9kGVt8T2bTmrQiA==" saltValue="TTGJ9i0qeiOi+FbCCmUCS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5482</v>
      </c>
      <c r="J9" s="181">
        <v>2093</v>
      </c>
      <c r="K9" s="181">
        <v>1884</v>
      </c>
      <c r="L9" s="181">
        <v>5692</v>
      </c>
      <c r="M9" s="181">
        <v>360</v>
      </c>
      <c r="N9" s="181">
        <v>911</v>
      </c>
      <c r="O9" s="181">
        <v>748</v>
      </c>
      <c r="P9" s="181">
        <v>449</v>
      </c>
      <c r="Q9" s="181">
        <v>254</v>
      </c>
      <c r="R9" s="181">
        <v>8929</v>
      </c>
      <c r="S9" s="181">
        <v>3986</v>
      </c>
      <c r="T9" s="181">
        <v>1679</v>
      </c>
      <c r="U9" s="181">
        <v>1475</v>
      </c>
      <c r="V9" s="181">
        <v>4190</v>
      </c>
      <c r="W9" s="181">
        <v>172</v>
      </c>
      <c r="X9" s="188">
        <v>870</v>
      </c>
      <c r="Y9" s="191">
        <v>30</v>
      </c>
      <c r="Z9" s="181">
        <v>21</v>
      </c>
      <c r="AA9" s="181">
        <v>33</v>
      </c>
      <c r="AB9" s="181">
        <v>18</v>
      </c>
      <c r="AC9" s="181">
        <v>0</v>
      </c>
      <c r="AD9" s="181">
        <v>0</v>
      </c>
      <c r="AE9" s="181">
        <v>0</v>
      </c>
      <c r="AF9" s="188">
        <v>0</v>
      </c>
      <c r="AG9" s="191">
        <v>42</v>
      </c>
      <c r="AH9" s="181">
        <v>45</v>
      </c>
      <c r="AI9" s="181">
        <v>48</v>
      </c>
      <c r="AJ9" s="192">
        <v>39</v>
      </c>
      <c r="AK9" s="180">
        <v>0</v>
      </c>
      <c r="AL9" s="181">
        <v>0</v>
      </c>
      <c r="AM9" s="181">
        <v>0</v>
      </c>
      <c r="AN9" s="188">
        <v>0</v>
      </c>
      <c r="AO9" s="258">
        <v>4</v>
      </c>
      <c r="AP9" s="154">
        <v>4</v>
      </c>
      <c r="AQ9" s="154">
        <v>4</v>
      </c>
      <c r="AR9" s="193">
        <v>4</v>
      </c>
      <c r="AS9" s="338" t="s">
        <v>799</v>
      </c>
      <c r="AT9" s="195"/>
      <c r="AU9" s="194"/>
      <c r="AV9" s="195"/>
      <c r="AW9" s="194"/>
      <c r="AX9" s="195"/>
      <c r="AY9" s="123">
        <f>IF(ISNUMBER(IF(J_V="SI",S9,S9+AG9)),IF(J_V="SI",S9,S9+AG9)," - ")</f>
        <v>4028</v>
      </c>
      <c r="AZ9" s="123">
        <f>IF(ISNUMBER(IF(J_V="SI",T9,T9+AH9)),IF(J_V="SI",T9,T9+AH9)," - ")</f>
        <v>1724</v>
      </c>
      <c r="BA9" s="124">
        <f>IF(ISNUMBER(IF(J_V="SI",U9,U9+AI9)),IF(J_V="SI",U9,U9+AI9)," - ")</f>
        <v>1523</v>
      </c>
      <c r="BB9" s="124">
        <f>IF(ISNUMBER(IF(J_V="SI",V9,V9+AJ9)),IF(J_V="SI",V9,V9+AJ9)," - ")</f>
        <v>4229</v>
      </c>
      <c r="BC9" s="125">
        <f>IF(ISNUMBER(X9),X9," - ")</f>
        <v>870</v>
      </c>
      <c r="BD9" s="126">
        <f>IF(ISNUMBER(BA9/AZ9),BA9/AZ9," - ")</f>
        <v>0.88341067285382835</v>
      </c>
      <c r="BE9" s="127">
        <f>IF(ISNUMBER(BB9/BA9),BB9/BA9, " - ")</f>
        <v>2.7767564018384765</v>
      </c>
      <c r="BF9" s="127">
        <f>IF(ISNUMBER(BC9/BA9),BC9/BA9, " - ")</f>
        <v>0.57124097176625077</v>
      </c>
      <c r="BG9" s="196">
        <f>IF(ISNUMBER((AY9+AZ9)/BA9),(AY9+AZ9)/BA9," - ")</f>
        <v>3.7767564018384765</v>
      </c>
      <c r="BH9" s="154">
        <v>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150</v>
      </c>
      <c r="J10" s="181">
        <v>51</v>
      </c>
      <c r="K10" s="181">
        <v>44</v>
      </c>
      <c r="L10" s="181">
        <v>157</v>
      </c>
      <c r="M10" s="181">
        <v>25</v>
      </c>
      <c r="N10" s="181">
        <v>13</v>
      </c>
      <c r="O10" s="181">
        <v>8</v>
      </c>
      <c r="P10" s="181">
        <v>9</v>
      </c>
      <c r="Q10" s="181">
        <v>2</v>
      </c>
      <c r="R10" s="181">
        <v>84</v>
      </c>
      <c r="S10" s="181">
        <v>176</v>
      </c>
      <c r="T10" s="181">
        <v>28</v>
      </c>
      <c r="U10" s="181">
        <v>43</v>
      </c>
      <c r="V10" s="181">
        <v>161</v>
      </c>
      <c r="W10" s="181">
        <v>24</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176</v>
      </c>
      <c r="AZ10" s="129">
        <f t="shared" si="0"/>
        <v>28</v>
      </c>
      <c r="BA10" s="129">
        <f t="shared" si="0"/>
        <v>43</v>
      </c>
      <c r="BB10" s="129">
        <f t="shared" si="0"/>
        <v>161</v>
      </c>
      <c r="BC10" s="125">
        <f t="shared" si="0"/>
        <v>24</v>
      </c>
      <c r="BD10" s="126">
        <f>IF(ISNUMBER(BA10/AZ10),BA10/AZ10," - ")</f>
        <v>1.5357142857142858</v>
      </c>
      <c r="BE10" s="127">
        <f>IF(ISNUMBER(BB10/BA10),BB10/BA10, " - ")</f>
        <v>3.7441860465116279</v>
      </c>
      <c r="BF10" s="127">
        <f>IF(ISNUMBER(BC10/BA10),BC10/BA10, " - ")</f>
        <v>0.55813953488372092</v>
      </c>
      <c r="BG10" s="196">
        <f>IF(ISNUMBER((AY10+AZ10)/BA10),(AY10+AZ10)/BA10," - ")</f>
        <v>4.7441860465116283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795</v>
      </c>
      <c r="J11" s="183">
        <v>256</v>
      </c>
      <c r="K11" s="183">
        <v>231</v>
      </c>
      <c r="L11" s="183">
        <v>820</v>
      </c>
      <c r="M11" s="183">
        <v>60</v>
      </c>
      <c r="N11" s="183">
        <v>76</v>
      </c>
      <c r="O11" s="181">
        <v>97</v>
      </c>
      <c r="P11" s="183">
        <v>45</v>
      </c>
      <c r="Q11" s="183">
        <v>22</v>
      </c>
      <c r="R11" s="183">
        <v>485</v>
      </c>
      <c r="S11" s="183">
        <v>861</v>
      </c>
      <c r="T11" s="183">
        <v>295</v>
      </c>
      <c r="U11" s="183">
        <v>321</v>
      </c>
      <c r="V11" s="183">
        <v>835</v>
      </c>
      <c r="W11" s="183">
        <v>101</v>
      </c>
      <c r="X11" s="189">
        <v>107</v>
      </c>
      <c r="Y11" s="191">
        <v>23</v>
      </c>
      <c r="Z11" s="181">
        <v>42</v>
      </c>
      <c r="AA11" s="181">
        <v>35</v>
      </c>
      <c r="AB11" s="181">
        <v>30</v>
      </c>
      <c r="AC11" s="183">
        <v>0</v>
      </c>
      <c r="AD11" s="183">
        <v>0</v>
      </c>
      <c r="AE11" s="183">
        <v>0</v>
      </c>
      <c r="AF11" s="189">
        <v>0</v>
      </c>
      <c r="AG11" s="202">
        <v>69</v>
      </c>
      <c r="AH11" s="183">
        <v>50</v>
      </c>
      <c r="AI11" s="183">
        <v>51</v>
      </c>
      <c r="AJ11" s="203">
        <v>68</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930</v>
      </c>
      <c r="AZ11" s="127">
        <f t="shared" si="1"/>
        <v>345</v>
      </c>
      <c r="BA11" s="127">
        <f t="shared" si="1"/>
        <v>372</v>
      </c>
      <c r="BB11" s="127">
        <f t="shared" si="1"/>
        <v>903</v>
      </c>
      <c r="BC11" s="125">
        <f>IF(ISNUMBER(X11),X11," - ")</f>
        <v>107</v>
      </c>
      <c r="BD11" s="126">
        <f t="shared" ref="BD11:BD12" si="2">IF(ISNUMBER(BA11/AZ11),BA11/AZ11," - ")</f>
        <v>1.0782608695652174</v>
      </c>
      <c r="BE11" s="127">
        <f t="shared" ref="BE11:BE12" si="3">IF(ISNUMBER(BB11/BA11),BB11/BA11, " - ")</f>
        <v>2.4274193548387095</v>
      </c>
      <c r="BF11" s="127">
        <f t="shared" ref="BF11:BF12" si="4">IF(ISNUMBER(BC11/BA11),BC11/BA11, " - ")</f>
        <v>0.28763440860215056</v>
      </c>
      <c r="BG11" s="196">
        <f t="shared" ref="BG11:BG12" si="5">IF(ISNUMBER((AY11+AZ11)/BA11),(AY11+AZ11)/BA11," - ")</f>
        <v>3.4274193548387095</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6427</v>
      </c>
      <c r="J13" s="184">
        <f t="shared" si="6"/>
        <v>2400</v>
      </c>
      <c r="K13" s="184">
        <f t="shared" si="6"/>
        <v>2159</v>
      </c>
      <c r="L13" s="184">
        <f t="shared" si="6"/>
        <v>6669</v>
      </c>
      <c r="M13" s="184">
        <f t="shared" si="6"/>
        <v>445</v>
      </c>
      <c r="N13" s="184">
        <f t="shared" si="6"/>
        <v>1000</v>
      </c>
      <c r="O13" s="184">
        <f t="shared" si="6"/>
        <v>853</v>
      </c>
      <c r="P13" s="184">
        <f t="shared" si="6"/>
        <v>503</v>
      </c>
      <c r="Q13" s="184">
        <f t="shared" si="6"/>
        <v>278</v>
      </c>
      <c r="R13" s="184">
        <f t="shared" si="6"/>
        <v>9498</v>
      </c>
      <c r="S13" s="184">
        <f t="shared" si="6"/>
        <v>5023</v>
      </c>
      <c r="T13" s="184">
        <f t="shared" si="6"/>
        <v>2002</v>
      </c>
      <c r="U13" s="184">
        <f t="shared" si="6"/>
        <v>1839</v>
      </c>
      <c r="V13" s="184">
        <f t="shared" si="6"/>
        <v>5186</v>
      </c>
      <c r="W13" s="184">
        <f t="shared" si="6"/>
        <v>297</v>
      </c>
      <c r="X13" s="184">
        <f t="shared" si="6"/>
        <v>985</v>
      </c>
      <c r="Y13" s="184">
        <f t="shared" si="6"/>
        <v>53</v>
      </c>
      <c r="Z13" s="184">
        <f t="shared" si="6"/>
        <v>63</v>
      </c>
      <c r="AA13" s="184">
        <f t="shared" si="6"/>
        <v>68</v>
      </c>
      <c r="AB13" s="184">
        <f t="shared" si="6"/>
        <v>48</v>
      </c>
      <c r="AC13" s="184">
        <f t="shared" si="6"/>
        <v>0</v>
      </c>
      <c r="AD13" s="184">
        <f t="shared" si="6"/>
        <v>0</v>
      </c>
      <c r="AE13" s="184">
        <f t="shared" si="6"/>
        <v>0</v>
      </c>
      <c r="AF13" s="184">
        <f>SUBTOTAL(9,AF9:AF12)</f>
        <v>0</v>
      </c>
      <c r="AG13" s="184">
        <f t="shared" ref="AG13:AT13" si="7">SUBTOTAL(9,AG8:AG12)</f>
        <v>111</v>
      </c>
      <c r="AH13" s="184">
        <f t="shared" si="7"/>
        <v>95</v>
      </c>
      <c r="AI13" s="184">
        <f t="shared" si="7"/>
        <v>99</v>
      </c>
      <c r="AJ13" s="184">
        <f t="shared" si="7"/>
        <v>107</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5134</v>
      </c>
      <c r="AZ13" s="184">
        <f>SUBTOTAL(9,AZ8:AZ12)</f>
        <v>2097</v>
      </c>
      <c r="BA13" s="184">
        <f>SUBTOTAL(9,BA8:BA12)</f>
        <v>1938</v>
      </c>
      <c r="BB13" s="184">
        <f>SUBTOTAL(9,BB8:BB12)</f>
        <v>5293</v>
      </c>
      <c r="BC13" s="184">
        <f>SUBTOTAL(9,BC8:BC12)</f>
        <v>1001</v>
      </c>
      <c r="BD13" s="205">
        <f>IF(ISNUMBER(BA13/AZ13),BA13/AZ13," - ")</f>
        <v>0.92417739628040052</v>
      </c>
      <c r="BE13" s="206">
        <f>IF(ISNUMBER(BB13/BA13),BB13/BA13, " - ")</f>
        <v>2.7311661506707945</v>
      </c>
      <c r="BF13" s="206">
        <f>IF(ISNUMBER(BC13/BA13),BC13/BA13, " - ")</f>
        <v>0.51651186790505677</v>
      </c>
      <c r="BG13" s="207">
        <f>IF(ISNUMBER((AY13+AZ13)/BA13),(AY13+AZ13)/BA13," - ")</f>
        <v>3.7311661506707945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2059</v>
      </c>
      <c r="J15" s="183">
        <v>1881</v>
      </c>
      <c r="K15" s="183">
        <v>1971</v>
      </c>
      <c r="L15" s="183">
        <v>1969</v>
      </c>
      <c r="M15" s="183">
        <v>372</v>
      </c>
      <c r="N15" s="183">
        <v>941</v>
      </c>
      <c r="O15" s="181">
        <v>60</v>
      </c>
      <c r="P15" s="183">
        <v>82</v>
      </c>
      <c r="Q15" s="183">
        <v>65</v>
      </c>
      <c r="R15" s="183">
        <v>399</v>
      </c>
      <c r="S15" s="183">
        <v>2114</v>
      </c>
      <c r="T15" s="183">
        <v>2288</v>
      </c>
      <c r="U15" s="183">
        <v>2249</v>
      </c>
      <c r="V15" s="183">
        <v>2282</v>
      </c>
      <c r="W15" s="183">
        <v>333</v>
      </c>
      <c r="X15" s="189">
        <v>1281</v>
      </c>
      <c r="Y15" s="202">
        <v>0</v>
      </c>
      <c r="Z15" s="183">
        <v>0</v>
      </c>
      <c r="AA15" s="183">
        <v>0</v>
      </c>
      <c r="AB15" s="183">
        <v>0</v>
      </c>
      <c r="AC15" s="183">
        <v>0</v>
      </c>
      <c r="AD15" s="183">
        <v>1</v>
      </c>
      <c r="AE15" s="183">
        <v>1</v>
      </c>
      <c r="AF15" s="189">
        <v>0</v>
      </c>
      <c r="AG15" s="202">
        <v>0</v>
      </c>
      <c r="AH15" s="183">
        <v>0</v>
      </c>
      <c r="AI15" s="183">
        <v>0</v>
      </c>
      <c r="AJ15" s="203">
        <v>0</v>
      </c>
      <c r="AK15" s="182">
        <v>0</v>
      </c>
      <c r="AL15" s="183">
        <v>0</v>
      </c>
      <c r="AM15" s="183">
        <v>0</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2114</v>
      </c>
      <c r="AZ15" s="129">
        <f t="shared" si="9"/>
        <v>2288</v>
      </c>
      <c r="BA15" s="129">
        <f t="shared" si="9"/>
        <v>2249</v>
      </c>
      <c r="BB15" s="129">
        <f t="shared" si="9"/>
        <v>2282</v>
      </c>
      <c r="BC15" s="125">
        <f>IF(ISNUMBER(W15),W15," - ")</f>
        <v>333</v>
      </c>
      <c r="BD15" s="126">
        <f>IF(ISNUMBER(BA15/AZ15),BA15/AZ15," - ")</f>
        <v>0.98295454545454541</v>
      </c>
      <c r="BE15" s="127">
        <f>IF(ISNUMBER(BB15/BA15),BB15/BA15, " - ")</f>
        <v>1.0146731880835926</v>
      </c>
      <c r="BF15" s="127">
        <f>IF(ISNUMBER(BC15/BA15),BC15/BA15, " - ")</f>
        <v>0.14806580702534461</v>
      </c>
      <c r="BG15" s="196">
        <f t="shared" ref="BG15:BG16" si="10">IF(ISNUMBER((AY15+AZ15)/BA15),(AY15+AZ15)/BA15," - ")</f>
        <v>1.9573143619386395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69</v>
      </c>
      <c r="J17" s="183">
        <v>451</v>
      </c>
      <c r="K17" s="183">
        <v>440</v>
      </c>
      <c r="L17" s="183">
        <v>80</v>
      </c>
      <c r="M17" s="183">
        <v>123</v>
      </c>
      <c r="N17" s="183">
        <v>111</v>
      </c>
      <c r="O17" s="183">
        <v>0</v>
      </c>
      <c r="P17" s="183">
        <v>13</v>
      </c>
      <c r="Q17" s="183">
        <v>0</v>
      </c>
      <c r="R17" s="183">
        <v>28</v>
      </c>
      <c r="S17" s="183">
        <v>75</v>
      </c>
      <c r="T17" s="183">
        <v>496</v>
      </c>
      <c r="U17" s="183">
        <v>497</v>
      </c>
      <c r="V17" s="183">
        <v>75</v>
      </c>
      <c r="W17" s="183">
        <v>128</v>
      </c>
      <c r="X17" s="189">
        <v>256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75</v>
      </c>
      <c r="AZ17" s="129">
        <f t="shared" si="14"/>
        <v>496</v>
      </c>
      <c r="BA17" s="129">
        <f t="shared" si="14"/>
        <v>497</v>
      </c>
      <c r="BB17" s="129">
        <f t="shared" si="14"/>
        <v>75</v>
      </c>
      <c r="BC17" s="125">
        <f>IF(ISNUMBER(W17),W17," - ")</f>
        <v>128</v>
      </c>
      <c r="BD17" s="126">
        <f>IF(ISNUMBER(BA17/AZ17),BA17/AZ17," - ")</f>
        <v>1.002016129032258</v>
      </c>
      <c r="BE17" s="127">
        <f>IF(ISNUMBER(BB17/BA17),BB17/BA17, " - ")</f>
        <v>0.15090543259557343</v>
      </c>
      <c r="BF17" s="127">
        <f>IF(ISNUMBER(BC17/BA17),BC17/BA17, " - ")</f>
        <v>0.25754527162977869</v>
      </c>
      <c r="BG17" s="196">
        <f>IF(ISNUMBER((AY17+AZ17)/BA17),(AY17+AZ17)/BA17," - ")</f>
        <v>1.1488933601609659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2128</v>
      </c>
      <c r="J18" s="184">
        <f t="shared" si="15"/>
        <v>2332</v>
      </c>
      <c r="K18" s="184">
        <f t="shared" si="15"/>
        <v>2411</v>
      </c>
      <c r="L18" s="184">
        <f t="shared" si="15"/>
        <v>2049</v>
      </c>
      <c r="M18" s="184">
        <f t="shared" si="15"/>
        <v>495</v>
      </c>
      <c r="N18" s="184">
        <f t="shared" si="15"/>
        <v>1052</v>
      </c>
      <c r="O18" s="184">
        <f t="shared" si="15"/>
        <v>60</v>
      </c>
      <c r="P18" s="184">
        <f t="shared" si="15"/>
        <v>95</v>
      </c>
      <c r="Q18" s="184">
        <f t="shared" si="15"/>
        <v>65</v>
      </c>
      <c r="R18" s="184">
        <f t="shared" si="15"/>
        <v>427</v>
      </c>
      <c r="S18" s="184">
        <f t="shared" si="15"/>
        <v>2189</v>
      </c>
      <c r="T18" s="184">
        <f t="shared" si="15"/>
        <v>2784</v>
      </c>
      <c r="U18" s="184">
        <f t="shared" si="15"/>
        <v>2746</v>
      </c>
      <c r="V18" s="184">
        <f t="shared" si="15"/>
        <v>2357</v>
      </c>
      <c r="W18" s="184">
        <f t="shared" si="15"/>
        <v>461</v>
      </c>
      <c r="X18" s="184">
        <f t="shared" si="15"/>
        <v>1537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2189</v>
      </c>
      <c r="AZ18" s="184">
        <f>SUBTOTAL(9,AZ14:AZ17)</f>
        <v>2784</v>
      </c>
      <c r="BA18" s="184">
        <f>SUBTOTAL(9,BA14:BA17)</f>
        <v>2746</v>
      </c>
      <c r="BB18" s="184">
        <f>SUBTOTAL(9,BB14:BB17)</f>
        <v>2357</v>
      </c>
      <c r="BC18" s="184">
        <f>SUBTOTAL(9,BC14:BC17)</f>
        <v>461</v>
      </c>
      <c r="BD18" s="205">
        <f>IF(ISNUMBER(BA18/AZ18),BA18/AZ18," - ")</f>
        <v>0.98635057471264365</v>
      </c>
      <c r="BE18" s="206">
        <f>IF(ISNUMBER(BB18/BA18),BB18/BA18, " - ")</f>
        <v>0.85833940276766207</v>
      </c>
      <c r="BF18" s="206">
        <f>IF(ISNUMBER(BC18/BA18),BC18/BA18, " - ")</f>
        <v>0.16788055353241077</v>
      </c>
      <c r="BG18" s="207">
        <f>IF(ISNUMBER((AY18+AZ18)/BA18),(AY18+AZ18)/BA18," - ")</f>
        <v>1.8109978150036417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8555</v>
      </c>
      <c r="J19" s="134">
        <f t="shared" si="18"/>
        <v>4732</v>
      </c>
      <c r="K19" s="134">
        <f t="shared" si="18"/>
        <v>4570</v>
      </c>
      <c r="L19" s="134">
        <f t="shared" si="18"/>
        <v>8718</v>
      </c>
      <c r="M19" s="134">
        <f t="shared" si="18"/>
        <v>940</v>
      </c>
      <c r="N19" s="134">
        <f t="shared" si="18"/>
        <v>2052</v>
      </c>
      <c r="O19" s="134">
        <f t="shared" si="18"/>
        <v>913</v>
      </c>
      <c r="P19" s="134">
        <f t="shared" si="18"/>
        <v>598</v>
      </c>
      <c r="Q19" s="134">
        <f t="shared" si="18"/>
        <v>343</v>
      </c>
      <c r="R19" s="134">
        <f t="shared" si="18"/>
        <v>9925</v>
      </c>
      <c r="S19" s="134">
        <f t="shared" si="18"/>
        <v>7212</v>
      </c>
      <c r="T19" s="134">
        <f t="shared" si="18"/>
        <v>4786</v>
      </c>
      <c r="U19" s="134">
        <f t="shared" si="18"/>
        <v>4585</v>
      </c>
      <c r="V19" s="134">
        <f t="shared" si="18"/>
        <v>7543</v>
      </c>
      <c r="W19" s="134">
        <f t="shared" si="18"/>
        <v>758</v>
      </c>
      <c r="X19" s="134">
        <f t="shared" si="18"/>
        <v>2522</v>
      </c>
      <c r="Y19" s="134">
        <f t="shared" si="18"/>
        <v>53</v>
      </c>
      <c r="Z19" s="134">
        <f t="shared" si="18"/>
        <v>63</v>
      </c>
      <c r="AA19" s="134">
        <f t="shared" si="18"/>
        <v>68</v>
      </c>
      <c r="AB19" s="134">
        <f t="shared" si="18"/>
        <v>48</v>
      </c>
      <c r="AC19" s="134">
        <f t="shared" si="18"/>
        <v>0</v>
      </c>
      <c r="AD19" s="134">
        <f t="shared" si="18"/>
        <v>1</v>
      </c>
      <c r="AE19" s="134">
        <f t="shared" si="18"/>
        <v>1</v>
      </c>
      <c r="AF19" s="134">
        <f t="shared" si="18"/>
        <v>0</v>
      </c>
      <c r="AG19" s="134">
        <f t="shared" si="18"/>
        <v>111</v>
      </c>
      <c r="AH19" s="134">
        <f t="shared" si="18"/>
        <v>95</v>
      </c>
      <c r="AI19" s="134">
        <f t="shared" si="18"/>
        <v>99</v>
      </c>
      <c r="AJ19" s="134">
        <f t="shared" si="18"/>
        <v>107</v>
      </c>
      <c r="AK19" s="134">
        <f t="shared" si="18"/>
        <v>0</v>
      </c>
      <c r="AL19" s="134">
        <f t="shared" si="18"/>
        <v>0</v>
      </c>
      <c r="AM19" s="134">
        <f t="shared" si="18"/>
        <v>0</v>
      </c>
      <c r="AN19" s="210">
        <f t="shared" si="18"/>
        <v>0</v>
      </c>
      <c r="AO19" s="211">
        <v>11</v>
      </c>
      <c r="AP19" s="211">
        <v>11</v>
      </c>
      <c r="AQ19" s="211">
        <v>11</v>
      </c>
      <c r="AR19" s="211">
        <v>11</v>
      </c>
      <c r="AS19" s="153">
        <f t="shared" si="18"/>
        <v>0</v>
      </c>
      <c r="AT19" s="153">
        <f t="shared" si="18"/>
        <v>0</v>
      </c>
      <c r="AU19" s="211"/>
      <c r="AV19" s="212"/>
      <c r="AW19" s="211"/>
      <c r="AX19" s="212"/>
      <c r="AY19" s="133">
        <f>SUBTOTAL(9,AY9:AY18)</f>
        <v>7323</v>
      </c>
      <c r="AZ19" s="134">
        <f>SUBTOTAL(9,AZ9:AZ18)</f>
        <v>4881</v>
      </c>
      <c r="BA19" s="134">
        <f>SUBTOTAL(9,BA9:BA18)</f>
        <v>4684</v>
      </c>
      <c r="BB19" s="134">
        <f>SUBTOTAL(9,BB9:BB18)</f>
        <v>7650</v>
      </c>
      <c r="BC19" s="135">
        <f>SUBTOTAL(9,BC9:BC18)</f>
        <v>1462</v>
      </c>
      <c r="BD19" s="213">
        <f>IF(ISNUMBER(BA19/AZ19),BA19/AZ19," - ")</f>
        <v>0.95963941815201803</v>
      </c>
      <c r="BE19" s="210">
        <f>IF(ISNUMBER(BB19/BA19),BB19/BA19, " - ")</f>
        <v>1.6332194705380016</v>
      </c>
      <c r="BF19" s="210">
        <f>IF(ISNUMBER(BC19/BA19),BC19/BA19, " - ")</f>
        <v>0.31212638770281809</v>
      </c>
      <c r="BG19" s="135">
        <f>IF(ISNUMBER((AY19+AZ19)/BA19),(AY19+AZ19)/BA19," - ")</f>
        <v>2.6054654141759181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jFLtjZ5mKaKS4C/F9NcVDoIzaRMVuflMXYo+n8NvdQz40epGA4TXHJBSbn7frR8T8QRch1yCmJKXzJdMmaQfQ==" saltValue="jUK/B2qo+Dr3fEU+mtG4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Sy+LL6JsHux7e5oiWMkA3Ksa2Y2zp3VGgAuySWhuheL57bitlWkyLCMG6ar44+nOlkutGMvhthryZ4hwiv7pg==" saltValue="FYTybCNZQn7iccjq7mZyp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ALGECIRAS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4</v>
      </c>
      <c r="B9" s="501" t="s">
        <v>246</v>
      </c>
      <c r="C9" s="160" t="str">
        <f>Datos!A9</f>
        <v xml:space="preserve">Jdos. 1ª Instancia   </v>
      </c>
      <c r="D9" s="502"/>
      <c r="E9" s="260">
        <f>IF(ISNUMBER(Datos!AQ9),Datos!AQ9," - ")</f>
        <v>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21</v>
      </c>
      <c r="O9" s="334"/>
      <c r="P9" s="334"/>
      <c r="Q9" s="226">
        <f>IF(ISNUMBER(Datos!P9),Datos!P9,0)</f>
        <v>449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254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v>
      </c>
      <c r="AI9" s="334" t="str">
        <f>IF(ISNUMBER(Datos!CD9),Datos!CD9,"-")</f>
        <v>-</v>
      </c>
      <c r="AJ9" s="334" t="str">
        <f>IF(ISNUMBER(Datos!EN9),Datos!EN9," - ")</f>
        <v xml:space="preserve"> - </v>
      </c>
      <c r="AK9" s="334"/>
      <c r="AL9" s="479"/>
      <c r="AM9" s="335">
        <f>IF(ISNUMBER(Datos!R9),Datos!R9," - ")</f>
        <v>8929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360</v>
      </c>
      <c r="BD9" s="229">
        <f>IF(ISNUMBER(Datos!N9),Datos!N9," - ")</f>
        <v>911</v>
      </c>
      <c r="BE9" s="229" t="str">
        <f>IF(ISNUMBER(Datos!BW9),Datos!BW9," - ")</f>
        <v xml:space="preserve"> - </v>
      </c>
      <c r="BF9" s="228" t="str">
        <f>IF(ISNUMBER(Datos!BX9),Datos!BX9," - ")</f>
        <v xml:space="preserve"> - </v>
      </c>
      <c r="BG9" s="243">
        <f>IF(ISNUMBER(IF(J_V="SI",Datos!K9/Datos!J9,(Datos!K9+Datos!AA9)/(Datos!J9+Datos!Z9))),IF(J_V="SI",Datos!K9/Datos!J9,(Datos!K9+Datos!AA9)/(Datos!J9+Datos!Z9))," - ")</f>
        <v>0.90681173131504256</v>
      </c>
      <c r="BH9" s="260">
        <f>IF(ISNUMBER(((IF(J_V="SI",Datos!L9/Datos!K9,(Datos!L9+Datos!AB9)/(Datos!K9+Datos!AA9)))*11)/factor_trimestre),((IF(J_V="SI",Datos!L9/Datos!K9,(Datos!L9+Datos!AB9)/(Datos!K9+Datos!AA9)))*11)/factor_trimestre," - ")</f>
        <v>5.9572248304642672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2.2326539958781772E-2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150</v>
      </c>
      <c r="G10" s="333">
        <f>IF(ISNUMBER(Datos!I10),Datos!I10," - ")</f>
        <v>150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44</v>
      </c>
      <c r="AC10" s="226">
        <f>IF(ISNUMBER(Datos!Q10),Datos!Q10," - ")</f>
        <v>2</v>
      </c>
      <c r="AD10" s="334"/>
      <c r="AE10" s="484"/>
      <c r="AF10" s="332">
        <f>IF(ISNUMBER(Datos!L10),Datos!L10,"-")</f>
        <v>157</v>
      </c>
      <c r="AG10" s="334"/>
      <c r="AH10" s="334"/>
      <c r="AI10" s="334"/>
      <c r="AJ10" s="334"/>
      <c r="AK10" s="334"/>
      <c r="AL10" s="479"/>
      <c r="AM10" s="335">
        <f>IF(ISNUMBER(Datos!R10),Datos!R10," - ")</f>
        <v>84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25</v>
      </c>
      <c r="BD10" s="229">
        <f>IF(ISNUMBER(Datos!N10),Datos!N10," - ")</f>
        <v>13</v>
      </c>
      <c r="BE10" s="229" t="str">
        <f>IF(ISNUMBER(Datos!BW10),Datos!BW10," - ")</f>
        <v xml:space="preserve"> - </v>
      </c>
      <c r="BF10" s="228" t="str">
        <f>IF(ISNUMBER(Datos!BX10),Datos!BX10," - ")</f>
        <v xml:space="preserve"> - </v>
      </c>
      <c r="BG10" s="243">
        <f>IF(ISNUMBER(Datos!K10/Datos!J10),Datos!K10/Datos!J10," - ")</f>
        <v>0.86274509803921573</v>
      </c>
      <c r="BH10" s="260">
        <f>IF(ISNUMBER(((Datos!L10/Datos!K10)*11)/factor_trimestre),((Datos!L10/Datos!K10)*11)/factor_trimestre," - ")</f>
        <v>7.1363636363636367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9.0909090909090912E-2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42</v>
      </c>
      <c r="O11" s="334"/>
      <c r="P11" s="334"/>
      <c r="Q11" s="226">
        <f>IF(ISNUMBER(Datos!P11),Datos!P11,0)</f>
        <v>45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22</v>
      </c>
      <c r="AD11" s="334"/>
      <c r="AE11" s="484"/>
      <c r="AF11" s="332" t="str">
        <f>IF(ISNUMBER(IF(J_V="SI",Datos!L11,Datos!L11+Datos!AB11)-IF(Monitorios="SI",Datos!CD11,0)),
                          IF(J_V="SI",Datos!L11,Datos!L11+Datos!AB11)-IF(Monitorios="SI",Datos!CD11,0),
                          " - ")</f>
        <v xml:space="preserve"> - </v>
      </c>
      <c r="AG11" s="334"/>
      <c r="AH11" s="334">
        <f>IF(ISNUMBER(Datos!AB11),Datos!AB11,"-")</f>
        <v>30</v>
      </c>
      <c r="AI11" s="334"/>
      <c r="AJ11" s="334"/>
      <c r="AK11" s="334"/>
      <c r="AL11" s="479"/>
      <c r="AM11" s="335">
        <f>IF(ISNUMBER(Datos!R11),Datos!R11," - ")</f>
        <v>485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60</v>
      </c>
      <c r="BD11" s="229">
        <f>IF(ISNUMBER(Datos!N11),Datos!N11," - ")</f>
        <v>76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0.89261744966442957</v>
      </c>
      <c r="BH11" s="260">
        <f>IF(ISNUMBER(((IF(J_V="SI",Datos!L11/Datos!K11,(Datos!L11+Datos!AB11)/(Datos!K11+Datos!AA11)))*11)/factor_trimestre),((IF(J_V="SI",Datos!L11/Datos!K11,(Datos!L11+Datos!AB11)/(Datos!K11+Datos!AA11)))*11)/factor_trimestre," - ")</f>
        <v>6.3909774436090228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4.9783549783549784E-2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150</v>
      </c>
      <c r="G13" s="898">
        <f t="shared" si="0"/>
        <v>150</v>
      </c>
      <c r="H13" s="899">
        <f t="shared" si="0"/>
        <v>0</v>
      </c>
      <c r="I13" s="898">
        <f t="shared" si="0"/>
        <v>0</v>
      </c>
      <c r="J13" s="867">
        <f t="shared" si="0"/>
        <v>0</v>
      </c>
      <c r="K13" s="867">
        <f t="shared" si="0"/>
        <v>0</v>
      </c>
      <c r="L13" s="899">
        <f t="shared" si="0"/>
        <v>0</v>
      </c>
      <c r="M13" s="899">
        <f t="shared" si="0"/>
        <v>0</v>
      </c>
      <c r="N13" s="899">
        <f t="shared" si="0"/>
        <v>63</v>
      </c>
      <c r="O13" s="900">
        <f t="shared" si="0"/>
        <v>0</v>
      </c>
      <c r="P13" s="900">
        <f t="shared" si="0"/>
        <v>0</v>
      </c>
      <c r="Q13" s="899">
        <f t="shared" si="0"/>
        <v>503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44</v>
      </c>
      <c r="AC13" s="899">
        <f t="shared" si="1"/>
        <v>278</v>
      </c>
      <c r="AD13" s="899">
        <f t="shared" si="1"/>
        <v>0</v>
      </c>
      <c r="AE13" s="899">
        <f t="shared" si="1"/>
        <v>0</v>
      </c>
      <c r="AF13" s="899">
        <f t="shared" si="1"/>
        <v>157</v>
      </c>
      <c r="AG13" s="899">
        <f t="shared" si="1"/>
        <v>0</v>
      </c>
      <c r="AH13" s="899">
        <f t="shared" si="1"/>
        <v>48</v>
      </c>
      <c r="AI13" s="899">
        <f t="shared" si="1"/>
        <v>0</v>
      </c>
      <c r="AJ13" s="899">
        <f t="shared" si="1"/>
        <v>0</v>
      </c>
      <c r="AK13" s="899">
        <f t="shared" si="1"/>
        <v>0</v>
      </c>
      <c r="AL13" s="899">
        <f t="shared" si="1"/>
        <v>0</v>
      </c>
      <c r="AM13" s="899">
        <f t="shared" si="1"/>
        <v>9498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445</v>
      </c>
      <c r="BD13" s="899">
        <f t="shared" si="1"/>
        <v>1000</v>
      </c>
      <c r="BE13" s="899">
        <f t="shared" si="1"/>
        <v>0</v>
      </c>
      <c r="BF13" s="899">
        <f t="shared" si="1"/>
        <v>0</v>
      </c>
      <c r="BG13" s="899">
        <f>IF(ISNUMBER(Datos!K13/Datos!J13),Datos!K13/Datos!J13," - ")</f>
        <v>0.89958333333333329</v>
      </c>
      <c r="BH13" s="903">
        <f>IF(ISNUMBER(((Datos!L13/Datos!K13)*11)/factor_trimestre),((Datos!L13/Datos!K13)*11)/factor_trimestre," - ")</f>
        <v>6.1778601204261232</v>
      </c>
      <c r="BI13" s="899">
        <f>IF(ISNUMBER('Resol  Asuntos'!D13/NºAsuntos!G13),'Resol  Asuntos'!D13/NºAsuntos!G13," - ")</f>
        <v>0.19982038616973508</v>
      </c>
      <c r="BJ13" s="899" t="str">
        <f>IF(ISNUMBER(Datos!CI13/Datos!CJ13),Datos!CI13/Datos!CJ13," - ")</f>
        <v xml:space="preserve"> - </v>
      </c>
      <c r="BK13" s="899">
        <f>SUBTOTAL(9,BK8:BK12)</f>
        <v>0</v>
      </c>
      <c r="BL13" s="899">
        <f>IF(ISNUMBER((I13-AB13+L13)/(F13)),(I13-AB13+L13)/(F13)," - ")</f>
        <v>-0.29333333333333333</v>
      </c>
      <c r="BM13" s="904">
        <f>SUBTOTAL(9,BM9:BM12)</f>
        <v>0.16301918065142246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2059</v>
      </c>
      <c r="G15" s="598">
        <f>IF(ISNUMBER(IF(D_I="SI",Datos!I15,Datos!I15+Datos!AC15)),IF(D_I="SI",Datos!I15,Datos!I15+Datos!AC15)," - ")</f>
        <v>2059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1971</v>
      </c>
      <c r="AC15" s="226">
        <f>IF(ISNUMBER(Datos!Q15),Datos!Q15," - ")</f>
        <v>65</v>
      </c>
      <c r="AD15" s="334"/>
      <c r="AE15" s="484"/>
      <c r="AF15" s="596">
        <f>IF(ISNUMBER(IF(D_I="SI",Datos!L15,Datos!L15+Datos!AF15)),IF(D_I="SI",Datos!L15,Datos!L15+Datos!AF15)," - ")</f>
        <v>1969</v>
      </c>
      <c r="AG15" s="334"/>
      <c r="AH15" s="334"/>
      <c r="AI15" s="334"/>
      <c r="AJ15" s="334"/>
      <c r="AK15" s="334"/>
      <c r="AL15" s="479"/>
      <c r="AM15" s="335">
        <f>IF(ISNUMBER(Datos!R15),Datos!R15," - ")</f>
        <v>399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372</v>
      </c>
      <c r="BD15" s="229">
        <f>IF(ISNUMBER(Datos!N15),Datos!N15," - ")</f>
        <v>941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1.0478468899521531</v>
      </c>
      <c r="BH15" s="260">
        <f>IF(ISNUMBER(((IF(D_I="SI",Datos!L15/Datos!K15,(Datos!L15+Datos!AF15)/(Datos!K15+Datos!AE15)))*11)/factor_trimestre),((IF(D_I="SI",Datos!L15/Datos!K15,(Datos!L15+Datos!AF15)/(Datos!K15+Datos!AE15)))*11)/factor_trimestre," - ")</f>
        <v>1.9979705733130393</v>
      </c>
      <c r="BI15" s="243">
        <f>IF(ISNUMBER('Resol  Asuntos'!D15/NºAsuntos!G15),'Resol  Asuntos'!D15/NºAsuntos!G15," - ")</f>
        <v>0.18873668188736681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440</v>
      </c>
      <c r="AC17" s="226">
        <f>IF(ISNUMBER(Datos!Q17),Datos!Q17," - ")</f>
        <v>0</v>
      </c>
      <c r="AD17" s="334"/>
      <c r="AE17" s="484"/>
      <c r="AF17" s="332">
        <f>IF(ISNUMBER(Datos!L17),Datos!L17,"-")</f>
        <v>80</v>
      </c>
      <c r="AG17" s="334"/>
      <c r="AH17" s="334"/>
      <c r="AI17" s="334"/>
      <c r="AJ17" s="334"/>
      <c r="AK17" s="334"/>
      <c r="AL17" s="479"/>
      <c r="AM17" s="335">
        <f>IF(ISNUMBER(Datos!R17),Datos!R17," - ")</f>
        <v>28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123</v>
      </c>
      <c r="BD17" s="229">
        <f>IF(ISNUMBER(Datos!N17),Datos!N17," - ")</f>
        <v>111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0.97560975609756095</v>
      </c>
      <c r="BH17" s="260">
        <f>IF(ISNUMBER(((IF(D_I="SI",Datos!L17/Datos!K17,(Datos!L17+Datos!AF17)/(Datos!K17+Datos!AE17)))*11)/factor_trimestre),((IF(D_I="SI",Datos!L17/Datos!K17,(Datos!L17+Datos!AF17)/(Datos!K17+Datos!AE17)))*11)/factor_trimestre," - ")</f>
        <v>0.36363636363636365</v>
      </c>
      <c r="BI17" s="243">
        <f>IF(ISNUMBER('Resol  Asuntos'!D17/NºAsuntos!G17),'Resol  Asuntos'!D17/NºAsuntos!G17," - ")</f>
        <v>0.27954545454545454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2059</v>
      </c>
      <c r="G18" s="898">
        <f>SUBTOTAL(9,G15:G17)</f>
        <v>2128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2411</v>
      </c>
      <c r="AC18" s="899">
        <f t="shared" si="4"/>
        <v>65</v>
      </c>
      <c r="AD18" s="899">
        <f t="shared" si="4"/>
        <v>0</v>
      </c>
      <c r="AE18" s="899">
        <f t="shared" si="4"/>
        <v>0</v>
      </c>
      <c r="AF18" s="899">
        <f t="shared" si="4"/>
        <v>2049</v>
      </c>
      <c r="AG18" s="899">
        <f t="shared" si="4"/>
        <v>0</v>
      </c>
      <c r="AH18" s="899">
        <f t="shared" si="4"/>
        <v>0</v>
      </c>
      <c r="AI18" s="899">
        <f t="shared" si="4"/>
        <v>0</v>
      </c>
      <c r="AJ18" s="899">
        <f t="shared" si="4"/>
        <v>0</v>
      </c>
      <c r="AK18" s="899">
        <f t="shared" si="4"/>
        <v>0</v>
      </c>
      <c r="AL18" s="899">
        <f t="shared" si="4"/>
        <v>0</v>
      </c>
      <c r="AM18" s="899">
        <f t="shared" si="4"/>
        <v>427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495</v>
      </c>
      <c r="BD18" s="899">
        <f t="shared" si="4"/>
        <v>1052</v>
      </c>
      <c r="BE18" s="899">
        <f t="shared" si="4"/>
        <v>0</v>
      </c>
      <c r="BF18" s="899">
        <f t="shared" si="4"/>
        <v>0</v>
      </c>
      <c r="BG18" s="899">
        <f>IF(ISNUMBER(Datos!K18/Datos!J18),Datos!K18/Datos!J18," - ")</f>
        <v>1.0338765008576329</v>
      </c>
      <c r="BH18" s="903">
        <f>IF(ISNUMBER(((Datos!L18/Datos!K18)*11)/factor_trimestre),((Datos!L18/Datos!K18)*11)/factor_trimestre," - ")</f>
        <v>1.6997096640398175</v>
      </c>
      <c r="BI18" s="899">
        <f>SUBTOTAL(9,BI15:BI17)</f>
        <v>0.46828213643282135</v>
      </c>
      <c r="BJ18" s="899">
        <f>SUBTOTAL(9,BJ15:BJ17)</f>
        <v>0</v>
      </c>
      <c r="BK18" s="899">
        <f>SUBTOTAL(9,BK15:BK17)</f>
        <v>0</v>
      </c>
      <c r="BL18" s="899">
        <f>IF(ISNUMBER((I18-AB18+L18)/(F18)),(I18-AB18+L18)/(F18)," - ")</f>
        <v>-1.1709567751335599</v>
      </c>
      <c r="BM18" s="905">
        <f>IF(ISNUMBER((Datos!P18-Datos!Q18)/(Datos!R18-Datos!P18+Datos!Q18)),(Datos!P18-Datos!Q18)/(Datos!R18-Datos!P18+Datos!Q18)," - ")</f>
        <v>7.5566750629722929E-2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2209</v>
      </c>
      <c r="G19" s="820">
        <f t="shared" si="6"/>
        <v>2278</v>
      </c>
      <c r="H19" s="822">
        <f t="shared" si="6"/>
        <v>0</v>
      </c>
      <c r="I19" s="820">
        <f t="shared" si="6"/>
        <v>0</v>
      </c>
      <c r="J19" s="822">
        <f t="shared" si="6"/>
        <v>0</v>
      </c>
      <c r="K19" s="822">
        <f t="shared" si="6"/>
        <v>0</v>
      </c>
      <c r="L19" s="881">
        <f t="shared" si="6"/>
        <v>0</v>
      </c>
      <c r="M19" s="881">
        <f t="shared" si="6"/>
        <v>0</v>
      </c>
      <c r="N19" s="881">
        <f t="shared" si="6"/>
        <v>63</v>
      </c>
      <c r="O19" s="881">
        <f t="shared" si="6"/>
        <v>0</v>
      </c>
      <c r="P19" s="881">
        <f t="shared" si="6"/>
        <v>0</v>
      </c>
      <c r="Q19" s="822">
        <f t="shared" si="6"/>
        <v>598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2455</v>
      </c>
      <c r="AC19" s="821">
        <f t="shared" si="7"/>
        <v>343</v>
      </c>
      <c r="AD19" s="821">
        <f t="shared" si="7"/>
        <v>0</v>
      </c>
      <c r="AE19" s="821">
        <f t="shared" si="7"/>
        <v>0</v>
      </c>
      <c r="AF19" s="828">
        <f t="shared" si="7"/>
        <v>2206</v>
      </c>
      <c r="AG19" s="828">
        <f t="shared" si="7"/>
        <v>0</v>
      </c>
      <c r="AH19" s="828">
        <f t="shared" si="7"/>
        <v>48</v>
      </c>
      <c r="AI19" s="828">
        <f t="shared" si="7"/>
        <v>0</v>
      </c>
      <c r="AJ19" s="821">
        <f t="shared" si="7"/>
        <v>0</v>
      </c>
      <c r="AK19" s="828">
        <f t="shared" si="7"/>
        <v>0</v>
      </c>
      <c r="AL19" s="828">
        <f t="shared" si="7"/>
        <v>0</v>
      </c>
      <c r="AM19" s="828">
        <f t="shared" si="7"/>
        <v>9925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940</v>
      </c>
      <c r="BD19" s="820">
        <f t="shared" si="7"/>
        <v>2052</v>
      </c>
      <c r="BE19" s="820">
        <f t="shared" si="7"/>
        <v>0</v>
      </c>
      <c r="BF19" s="830">
        <f t="shared" si="7"/>
        <v>0</v>
      </c>
      <c r="BG19" s="915">
        <f>IF(ISNUMBER(Datos!K19/Datos!J19),Datos!K19/Datos!J19," - ")</f>
        <v>0.96576500422654266</v>
      </c>
      <c r="BH19" s="915">
        <f>IF(ISNUMBER(((Datos!L19/Datos!K19)*11)/factor_trimestre),((Datos!L19/Datos!K19)*11)/factor_trimestre," - ")</f>
        <v>3.8153172866520788</v>
      </c>
      <c r="BI19" s="813">
        <f>IF(ISNUMBER(Datos!J19/Datos!I19),Datos!J19/Datos!I19," - ")</f>
        <v>0.55312682641729982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-1.1113626075147125</v>
      </c>
      <c r="BM19" s="889">
        <f>IF(ISNUMBER((Datos!P19-Datos!Q19+R19)/(Datos!R19-Datos!P19+Datos!Q19-R19)),(Datos!P19-Datos!Q19+R19)/(Datos!R19-Datos!P19+Datos!Q19-R19)," - ")</f>
        <v>2.6370217166494313E-2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911.2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2.5495097567963922</v>
      </c>
      <c r="F21" s="551">
        <f>IF(ISNUMBER(STDEV(F8:F18)),STDEV(F8:F18),"-")</f>
        <v>1102.1616638829955</v>
      </c>
      <c r="G21" s="552">
        <f>IF(ISNUMBER(STDEV(G8:G18)),STDEV(G8:G18),"-")</f>
        <v>1080.0693033319667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1126.23421187602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193.85291429574221</v>
      </c>
      <c r="BD21" s="551"/>
      <c r="BE21" s="551">
        <f>IF(ISNUMBER(STDEV(BE8:BE18)),STDEV(BE8:BE18),"-")</f>
        <v>0</v>
      </c>
      <c r="BF21" s="556">
        <f>IF(ISNUMBER(STDEV(BF8:BF18)),STDEV(BF8:BF18),"-")</f>
        <v>0</v>
      </c>
      <c r="BG21" s="775">
        <f>IF(ISNUMBER(STDEV(BG8:BG18)),STDEV(BG8:BG18),"-")</f>
        <v>7.353219213659544E-2</v>
      </c>
      <c r="BH21" s="776">
        <f>IF(ISNUMBER(STDEV(BH8:BH18)),STDEV(BH8:BH18),"-")</f>
        <v>2.7756525322490893</v>
      </c>
      <c r="BI21" s="249">
        <f>IF(ISNUMBER(STDEV(BI8:BI18)),STDEV(BI8:BI18),"-")</f>
        <v>0.12928137137686604</v>
      </c>
      <c r="BJ21" s="230" t="str">
        <f>IF(ISNUMBER(BL21/BM21),BL21/BM21," - ")</f>
        <v xml:space="preserve"> - </v>
      </c>
      <c r="BK21" s="575"/>
      <c r="BL21" s="559">
        <f>IF(ISNUMBER(STDEV(BL8:BL18)),STDEV(BL8:BL18),"-")</f>
        <v>0.62057348702521742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0IyVnCtV45MuPwfwbRXPxonLFbYOVo82QXhql2sTJA3J3A9ffSHsL3N7zEVsK+cm3SFp8Akq70FzhT/V/WAT9Q==" saltValue="BmHvwwS2orWIxvrj7IF3M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ALGECIRAS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449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254</v>
      </c>
      <c r="AA9" s="332" t="str">
        <f>IF(ISNUMBER(IF(J_V="SI",Datos!L9,Datos!L9+Datos!AB9)-IF(Monitorios="SI",Datos!CD9,0)),
                          IF(J_V="SI",Datos!L9,Datos!L9+Datos!AB9)-IF(Monitorios="SI",Datos!CD9,0),
                          " - ")</f>
        <v xml:space="preserve"> - </v>
      </c>
      <c r="AB9" s="334"/>
      <c r="AC9" s="334"/>
      <c r="AD9" s="484"/>
      <c r="AE9" s="484">
        <f>IF(ISNUMBER(Datos!R9),Datos!R9," - ")</f>
        <v>8929</v>
      </c>
      <c r="AF9" s="229" t="str">
        <f>IF(ISNUMBER(Datos!BV9),Datos!BV9," - ")</f>
        <v xml:space="preserve"> - </v>
      </c>
      <c r="AG9" s="225" t="str">
        <f>IF(ISNUMBER(Datos!DV9),Datos!DV9," - ")</f>
        <v xml:space="preserve"> - </v>
      </c>
      <c r="AH9" s="298"/>
      <c r="AI9" s="227"/>
      <c r="AJ9" s="225">
        <f>IF(ISNUMBER(Datos!M9),Datos!M9," - ")</f>
        <v>360</v>
      </c>
      <c r="AK9" s="229">
        <f>IF(ISNUMBER(Datos!N9),Datos!N9," - ")</f>
        <v>911</v>
      </c>
      <c r="AL9" s="229" t="str">
        <f>IF(ISNUMBER(Datos!BW9),Datos!BW9," - ")</f>
        <v xml:space="preserve"> - </v>
      </c>
      <c r="AM9" s="228" t="str">
        <f>IF(ISNUMBER(Datos!BX9),Datos!BX9," - ")</f>
        <v xml:space="preserve"> - </v>
      </c>
      <c r="AN9" s="243"/>
      <c r="AO9" s="260">
        <f>IF(ISNUMBER(((NºAsuntos!I9/NºAsuntos!G9)*11)/factor_trimestre),((NºAsuntos!I9/NºAsuntos!G9)*11)/factor_trimestre," - ")</f>
        <v>5.9572248304642672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2.2326539958781772E-2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150</v>
      </c>
      <c r="G10" s="225">
        <f>IF(ISNUMBER(Datos!I10),Datos!I10," - ")</f>
        <v>150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44</v>
      </c>
      <c r="Z10" s="619">
        <f>IF(ISNUMBER(Datos!Q10),Datos!Q10," - ")</f>
        <v>2</v>
      </c>
      <c r="AA10" s="332">
        <f>IF(ISNUMBER(Datos!L10),Datos!L10,"-")</f>
        <v>157</v>
      </c>
      <c r="AB10" s="334"/>
      <c r="AC10" s="334"/>
      <c r="AD10" s="484"/>
      <c r="AE10" s="484">
        <f>IF(ISNUMBER(Datos!R10),Datos!R10," - ")</f>
        <v>84</v>
      </c>
      <c r="AF10" s="229" t="str">
        <f>IF(ISNUMBER(Datos!BV10),Datos!BV10," - ")</f>
        <v xml:space="preserve"> - </v>
      </c>
      <c r="AG10" s="225" t="str">
        <f>IF(ISNUMBER(Datos!DV10),Datos!DV10," - ")</f>
        <v xml:space="preserve"> - </v>
      </c>
      <c r="AH10" s="298"/>
      <c r="AI10" s="227"/>
      <c r="AJ10" s="225">
        <f>IF(ISNUMBER(Datos!M10),Datos!M10," - ")</f>
        <v>25</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7.1363636363636367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9.0909090909090912E-2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22</v>
      </c>
      <c r="AA11" s="332" t="str">
        <f>IF(ISNUMBER(IF(J_V="SI",Datos!L11,Datos!L11+Datos!AB11)-IF(Monitorios="SI",Datos!CD11,0)),
                          IF(J_V="SI",Datos!L11,Datos!L11+Datos!AB11)-IF(Monitorios="SI",Datos!CD11,0),
                          " - ")</f>
        <v xml:space="preserve"> - </v>
      </c>
      <c r="AB11" s="334"/>
      <c r="AC11" s="334"/>
      <c r="AD11" s="484"/>
      <c r="AE11" s="484">
        <f>IF(ISNUMBER(Datos!R11),Datos!R11," - ")</f>
        <v>485</v>
      </c>
      <c r="AF11" s="229" t="str">
        <f>IF(ISNUMBER(Datos!BV11),Datos!BV11," - ")</f>
        <v xml:space="preserve"> - </v>
      </c>
      <c r="AG11" s="225" t="str">
        <f>IF(ISNUMBER(Datos!DV11),Datos!DV11," - ")</f>
        <v xml:space="preserve"> - </v>
      </c>
      <c r="AH11" s="298"/>
      <c r="AI11" s="227"/>
      <c r="AJ11" s="225">
        <f>IF(ISNUMBER(Datos!M11),Datos!M11," - ")</f>
        <v>60</v>
      </c>
      <c r="AK11" s="229">
        <f>IF(ISNUMBER(Datos!N11),Datos!N11," - ")</f>
        <v>76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6.3909774436090228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4.9783549783549784E-2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150</v>
      </c>
      <c r="G13" s="898">
        <f>SUBTOTAL(9,G8:G12)</f>
        <v>150</v>
      </c>
      <c r="H13" s="908"/>
      <c r="I13" s="898">
        <f t="shared" ref="I13:N13" si="0">SUBTOTAL(9,I8:I12)</f>
        <v>0</v>
      </c>
      <c r="J13" s="867">
        <f t="shared" si="0"/>
        <v>0</v>
      </c>
      <c r="K13" s="908">
        <f t="shared" si="0"/>
        <v>0</v>
      </c>
      <c r="L13" s="908">
        <f t="shared" si="0"/>
        <v>0</v>
      </c>
      <c r="M13" s="908">
        <f t="shared" si="0"/>
        <v>0</v>
      </c>
      <c r="N13" s="908">
        <f t="shared" si="0"/>
        <v>503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44</v>
      </c>
      <c r="Z13" s="907">
        <f t="shared" si="2"/>
        <v>278</v>
      </c>
      <c r="AA13" s="900">
        <f t="shared" si="2"/>
        <v>157</v>
      </c>
      <c r="AB13" s="900">
        <f t="shared" si="2"/>
        <v>0</v>
      </c>
      <c r="AC13" s="900">
        <f t="shared" si="2"/>
        <v>0</v>
      </c>
      <c r="AD13" s="900">
        <f t="shared" si="2"/>
        <v>0</v>
      </c>
      <c r="AE13" s="900">
        <f t="shared" si="2"/>
        <v>9498</v>
      </c>
      <c r="AF13" s="908">
        <f t="shared" si="2"/>
        <v>0</v>
      </c>
      <c r="AG13" s="908">
        <f t="shared" si="2"/>
        <v>0</v>
      </c>
      <c r="AH13" s="908">
        <f t="shared" si="2"/>
        <v>0</v>
      </c>
      <c r="AI13" s="908">
        <f t="shared" si="2"/>
        <v>0</v>
      </c>
      <c r="AJ13" s="908">
        <f t="shared" si="2"/>
        <v>445</v>
      </c>
      <c r="AK13" s="908">
        <f t="shared" si="2"/>
        <v>1000</v>
      </c>
      <c r="AL13" s="908">
        <f t="shared" si="2"/>
        <v>0</v>
      </c>
      <c r="AM13" s="908">
        <f t="shared" si="2"/>
        <v>0</v>
      </c>
      <c r="AN13" s="908">
        <f t="shared" si="2"/>
        <v>0</v>
      </c>
      <c r="AO13" s="904">
        <f>IF(ISNUMBER(((NºAsuntos!I13/NºAsuntos!G13)*11)/factor_trimestre),((NºAsuntos!I13/NºAsuntos!G13)*11)/factor_trimestre," - ")</f>
        <v>6.0323304894476877</v>
      </c>
      <c r="AP13" s="910" t="str">
        <f>IF(ISNUMBER(Datos!CI13/Datos!CJ13),Datos!CI13/Datos!CJ13," - ")</f>
        <v xml:space="preserve"> - </v>
      </c>
      <c r="AQ13" s="928">
        <f t="shared" ref="AQ13:AV13" si="3">SUBTOTAL(9,AQ9:AQ12)</f>
        <v>0</v>
      </c>
      <c r="AR13" s="928">
        <f t="shared" si="3"/>
        <v>0.16301918065142246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2059</v>
      </c>
      <c r="G15" s="225">
        <f>IF(ISNUMBER(IF(D_I="SI",Datos!I15,Datos!I15+Datos!AC15)),IF(D_I="SI",Datos!I15,Datos!I15+Datos!AC15)," - ")</f>
        <v>2059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1971</v>
      </c>
      <c r="Z15" s="619">
        <f>IF(ISNUMBER(Datos!Q15),Datos!Q15," - ")</f>
        <v>65</v>
      </c>
      <c r="AA15" s="332">
        <f>IF(ISNUMBER(IF(D_I="SI",Datos!L15,Datos!L15+Datos!AF15)),IF(D_I="SI",Datos!L15,Datos!L15+Datos!AF15)," - ")</f>
        <v>1969</v>
      </c>
      <c r="AB15" s="334"/>
      <c r="AC15" s="334"/>
      <c r="AD15" s="484"/>
      <c r="AE15" s="484">
        <f>IF(ISNUMBER(Datos!R15),Datos!R15," - ")</f>
        <v>399</v>
      </c>
      <c r="AF15" s="229" t="str">
        <f>IF(ISNUMBER(Datos!BV15),Datos!BV15," - ")</f>
        <v xml:space="preserve"> - </v>
      </c>
      <c r="AG15" s="225"/>
      <c r="AH15" s="298"/>
      <c r="AI15" s="227"/>
      <c r="AJ15" s="225">
        <f>IF(ISNUMBER(Datos!M15),Datos!M15," - ")</f>
        <v>372</v>
      </c>
      <c r="AK15" s="229">
        <f>IF(ISNUMBER(Datos!N15),Datos!N15," - ")</f>
        <v>941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1.9979705733130393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440</v>
      </c>
      <c r="Z17" s="619">
        <f>IF(ISNUMBER(Datos!Q17),Datos!Q17," - ")</f>
        <v>0</v>
      </c>
      <c r="AA17" s="332">
        <f>IF(ISNUMBER(Datos!L17),Datos!L17,"-")</f>
        <v>80</v>
      </c>
      <c r="AB17" s="334"/>
      <c r="AC17" s="334"/>
      <c r="AD17" s="484"/>
      <c r="AE17" s="484">
        <f>IF(ISNUMBER(Datos!R17),Datos!R17," - ")</f>
        <v>28</v>
      </c>
      <c r="AF17" s="229" t="str">
        <f>IF(ISNUMBER(Datos!BV17),Datos!BV17," - ")</f>
        <v xml:space="preserve"> - </v>
      </c>
      <c r="AG17" s="225" t="str">
        <f>IF(ISNUMBER(Datos!DV17),Datos!DV17," - ")</f>
        <v xml:space="preserve"> - </v>
      </c>
      <c r="AH17" s="298"/>
      <c r="AI17" s="227"/>
      <c r="AJ17" s="225">
        <f>IF(ISNUMBER(Datos!M17),Datos!M17," - ")</f>
        <v>123</v>
      </c>
      <c r="AK17" s="229">
        <f>IF(ISNUMBER(Datos!N17),Datos!N17," - ")</f>
        <v>111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0.36363636363636365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2059</v>
      </c>
      <c r="G18" s="898">
        <f>SUBTOTAL(9,G15:G17)</f>
        <v>2128</v>
      </c>
      <c r="H18" s="932">
        <f>SUBTOTAL(9,H15:H17)</f>
        <v>0</v>
      </c>
      <c r="I18" s="911">
        <f>SUBTOTAL(9,I15:I17)</f>
        <v>0</v>
      </c>
      <c r="J18" s="867">
        <f>SUBTOTAL(9,J14:J17)</f>
        <v>0</v>
      </c>
      <c r="K18" s="932">
        <f t="shared" ref="K18:S18" si="4">SUBTOTAL(9,K15:K17)</f>
        <v>0</v>
      </c>
      <c r="L18" s="932">
        <f t="shared" si="4"/>
        <v>0</v>
      </c>
      <c r="M18" s="932">
        <f t="shared" si="4"/>
        <v>0</v>
      </c>
      <c r="N18" s="932">
        <f t="shared" si="4"/>
        <v>95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2411</v>
      </c>
      <c r="Z18" s="932">
        <f t="shared" si="5"/>
        <v>65</v>
      </c>
      <c r="AA18" s="932">
        <f t="shared" si="5"/>
        <v>2049</v>
      </c>
      <c r="AB18" s="932">
        <f t="shared" si="5"/>
        <v>0</v>
      </c>
      <c r="AC18" s="932">
        <f t="shared" si="5"/>
        <v>0</v>
      </c>
      <c r="AD18" s="932">
        <f t="shared" si="5"/>
        <v>0</v>
      </c>
      <c r="AE18" s="932">
        <f t="shared" si="5"/>
        <v>427</v>
      </c>
      <c r="AF18" s="932">
        <f t="shared" si="5"/>
        <v>0</v>
      </c>
      <c r="AG18" s="932">
        <f t="shared" si="5"/>
        <v>0</v>
      </c>
      <c r="AH18" s="932">
        <f t="shared" si="5"/>
        <v>0</v>
      </c>
      <c r="AI18" s="932">
        <f t="shared" si="5"/>
        <v>0</v>
      </c>
      <c r="AJ18" s="932">
        <f t="shared" si="5"/>
        <v>495</v>
      </c>
      <c r="AK18" s="932">
        <f t="shared" si="5"/>
        <v>1052</v>
      </c>
      <c r="AL18" s="932">
        <f t="shared" si="5"/>
        <v>0</v>
      </c>
      <c r="AM18" s="932">
        <f t="shared" si="5"/>
        <v>0</v>
      </c>
      <c r="AN18" s="932">
        <f t="shared" si="5"/>
        <v>0</v>
      </c>
      <c r="AO18" s="934">
        <f>IF(ISNUMBER(((NºAsuntos!I18/NºAsuntos!G18)*11)/factor_trimestre),((NºAsuntos!I18/NºAsuntos!G18)*11)/factor_trimestre," - ")</f>
        <v>1.6997096640398175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2209</v>
      </c>
      <c r="G19" s="820">
        <f t="shared" si="7"/>
        <v>2278</v>
      </c>
      <c r="H19" s="821">
        <f t="shared" si="7"/>
        <v>0</v>
      </c>
      <c r="I19" s="820">
        <f t="shared" si="7"/>
        <v>0</v>
      </c>
      <c r="J19" s="822">
        <f t="shared" si="7"/>
        <v>0</v>
      </c>
      <c r="K19" s="820">
        <f t="shared" si="7"/>
        <v>0</v>
      </c>
      <c r="L19" s="823">
        <f t="shared" si="7"/>
        <v>0</v>
      </c>
      <c r="M19" s="820">
        <f t="shared" si="7"/>
        <v>0</v>
      </c>
      <c r="N19" s="821">
        <f t="shared" si="7"/>
        <v>598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2455</v>
      </c>
      <c r="Z19" s="827">
        <f t="shared" si="8"/>
        <v>343</v>
      </c>
      <c r="AA19" s="828">
        <f t="shared" si="8"/>
        <v>2206</v>
      </c>
      <c r="AB19" s="828">
        <f t="shared" si="8"/>
        <v>0</v>
      </c>
      <c r="AC19" s="828">
        <f t="shared" si="8"/>
        <v>0</v>
      </c>
      <c r="AD19" s="829">
        <f t="shared" si="8"/>
        <v>0</v>
      </c>
      <c r="AE19" s="829">
        <f t="shared" si="8"/>
        <v>9925</v>
      </c>
      <c r="AF19" s="830">
        <f t="shared" si="8"/>
        <v>0</v>
      </c>
      <c r="AG19" s="831">
        <f t="shared" si="8"/>
        <v>0</v>
      </c>
      <c r="AH19" s="832">
        <f t="shared" si="8"/>
        <v>0</v>
      </c>
      <c r="AI19" s="830">
        <f t="shared" si="8"/>
        <v>0</v>
      </c>
      <c r="AJ19" s="820">
        <f t="shared" si="8"/>
        <v>940</v>
      </c>
      <c r="AK19" s="820">
        <f t="shared" si="8"/>
        <v>2052</v>
      </c>
      <c r="AL19" s="820">
        <f t="shared" si="8"/>
        <v>0</v>
      </c>
      <c r="AM19" s="833">
        <f t="shared" si="8"/>
        <v>0</v>
      </c>
      <c r="AN19" s="823">
        <f>IF(ISNUMBER(Datos!K19/Datos!J19),Datos!K19/Datos!J19," - ")</f>
        <v>0.96576500422654266</v>
      </c>
      <c r="AO19" s="823">
        <f>IF(ISNUMBER(FIND("06",Criterios!A8,1)),(IF(ISNUMBER(((Datos!R19/Datos!Q19)*11)/factor_trimestre),((Datos!R19/Datos!Q19)*11)/factor_trimestre," - ")),(IF(ISNUMBER(((Datos!L19/Datos!K19)*11)/factor_trimestre),((Datos!L19/Datos!K19)*11)/factor_trimestre," - ")))</f>
        <v>3.8153172866520788</v>
      </c>
      <c r="AP19" s="834" t="str">
        <f>IF(ISNUMBER(Datos!CI19/Datos!CJ19),Datos!CI19/Datos!CJ19," - ")</f>
        <v xml:space="preserve"> - </v>
      </c>
      <c r="AQ19" s="834">
        <f>IF(OR(ISNUMBER(FIND("01",Criterios!A8,1)),ISNUMBER(FIND("02",Criterios!A8,1)),ISNUMBER(FIND("03",Criterios!A8,1)),ISNUMBER(FIND("04",Criterios!A8,1))),(J19-Y19+K19)/(F19-K19),(I19-Y19+K19)/(F19-K19))</f>
        <v>-1.1113626075147125</v>
      </c>
      <c r="AR19" s="834">
        <f>IF(ISNUMBER((Datos!P19-Datos!Q19+O19)/(Datos!R19-Datos!P19+Datos!Q19-O19)),(Datos!P19-Datos!Q19+O19)/(Datos!R19-Datos!P19+Datos!Q19-O19)," - ")</f>
        <v>2.6370217166494313E-2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911.2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1102.1616638829955</v>
      </c>
      <c r="G21" s="552">
        <f>IF(ISNUMBER(STDEV(G8:G18)),STDEV(G8:G18),"-")</f>
        <v>1080.0693033319667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193.85291429574221</v>
      </c>
      <c r="AK21" s="252"/>
      <c r="AL21" s="252">
        <f>IF(ISNUMBER(STDEV(AL8:AL18)),STDEV(AL8:AL18),"-")</f>
        <v>0</v>
      </c>
      <c r="AM21" s="254">
        <f>IF(ISNUMBER(STDEV(AM8:AM18)),STDEV(AM8:AM18),"-")</f>
        <v>0</v>
      </c>
      <c r="AN21" s="539">
        <f>IF(ISNUMBER(STDEV(AN8:AN18)),STDEV(AN8:AN18),"-")</f>
        <v>0</v>
      </c>
      <c r="AO21" s="540">
        <f>IF(ISNUMBER(STDEV(AO8:AO18)),STDEV(AO8:AO18),"-")</f>
        <v>2.7592698876216888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WcAo7Q7a6Unms2/ud5+L7lj9S+cMtuaurb2VeUux5h/qN28g/z44a8VVh7XrXdgwvAA0aQIYfgGOTc8kdOn4g==" saltValue="BUUgGINy97eKEJAHi0rWx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w+ulMK91zK6AMTVB8uCLHqctVkECiLiCmoKeVGeUAj4CPMZfUkCOXSrPzPpTH1WsyXMjONiQ21SF4Rso6QC4A==" saltValue="d+rBjbiEIC50KzZgbwaG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zsEwQ4PSDLUkLbGaz8oPQv7+jClazzCGUrOFq9/F6tTj/ASYcqocdEubBvahulYBTRohcEQFbGJR7Xuq8ln5A==" saltValue="ucZ5wIBChbSgbqcBPwkuL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ALGECIRAS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0.19982038616973508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0.14129435007993429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ictzuyk43aR+Tr8ccxFfgksT2Guw/Eus7jS8kUwrmZm61ZM+AbUzmAatoTMFZKs859qH9e76XVTxOIuhkifrwg==" saltValue="B4C1k/px1e9zRRIX4BMd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M0WMm8a+8EuXbjAUkvzEk9uKsc4etdU6Yal8stxNMfRGS3nT1R6GhuDiAwl+Vb2Z8cxAbOWrHTCjCgJDoJpbA==" saltValue="p7ETQjDy9m1S41V1+Wa5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ALGECIRAS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4</v>
      </c>
      <c r="B9" s="501" t="s">
        <v>246</v>
      </c>
      <c r="C9" s="160" t="str">
        <f>Datos!A9</f>
        <v xml:space="preserve">Jdos. 1ª Instancia   </v>
      </c>
      <c r="D9" s="502"/>
      <c r="E9" s="682">
        <f>IF(ISNUMBER(Datos!AQ9),Datos!AQ9," - ")</f>
        <v>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150</v>
      </c>
      <c r="G10" s="684">
        <f>IF(ISNUMBER(Datos!I10),Datos!I10," - ")</f>
        <v>150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44</v>
      </c>
      <c r="AC10" s="683" t="str">
        <f>IF(ISNUMBER(IF(D_I="SI",DatosP!K17,DatosP!K17+DatosP!AE17)),IF(D_I="SI",DatosP!K17,DatosP!K17+DatosP!AE17)," - ")</f>
        <v xml:space="preserve"> - </v>
      </c>
      <c r="AD10" s="685"/>
      <c r="AE10" s="685"/>
      <c r="AF10" s="688">
        <f>IF(ISNUMBER(Datos!L10),Datos!L10,"-")</f>
        <v>157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25</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7.1363636363636367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150</v>
      </c>
      <c r="G13" s="938">
        <f t="shared" si="0"/>
        <v>150</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44</v>
      </c>
      <c r="AC13" s="939">
        <f t="shared" si="1"/>
        <v>0</v>
      </c>
      <c r="AD13" s="939">
        <f t="shared" si="1"/>
        <v>0</v>
      </c>
      <c r="AE13" s="939">
        <f t="shared" si="1"/>
        <v>0</v>
      </c>
      <c r="AF13" s="939">
        <f t="shared" si="1"/>
        <v>157</v>
      </c>
      <c r="AG13" s="939">
        <f t="shared" si="1"/>
        <v>0</v>
      </c>
      <c r="AH13" s="939">
        <f t="shared" si="1"/>
        <v>0</v>
      </c>
      <c r="AI13" s="939">
        <f t="shared" si="1"/>
        <v>0</v>
      </c>
      <c r="AJ13" s="939">
        <f t="shared" si="1"/>
        <v>0</v>
      </c>
      <c r="AK13" s="939">
        <f t="shared" si="1"/>
        <v>0</v>
      </c>
      <c r="AL13" s="939">
        <f t="shared" si="1"/>
        <v>25</v>
      </c>
      <c r="AM13" s="939">
        <f t="shared" si="1"/>
        <v>13</v>
      </c>
      <c r="AN13" s="939">
        <f t="shared" si="1"/>
        <v>0</v>
      </c>
      <c r="AO13" s="939">
        <f t="shared" si="1"/>
        <v>0</v>
      </c>
      <c r="AP13" s="944">
        <f>IF(ISNUMBER(((Datos!L13/Datos!K13)*11)/factor_trimestre),((Datos!L13/Datos!K13)*11)/factor_trimestre," - ")</f>
        <v>6.1778601204261232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-0.29333333333333333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1.6997096640398175</v>
      </c>
      <c r="AQ18" s="944">
        <f>IF(ISNUMBER(((Datos!M18/Datos!L18)*11)/factor_trimestre),((Datos!M18/Datos!L18)*11)/factor_trimestre," - ")</f>
        <v>0.48316251830161056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7.5566750629722929E-2</v>
      </c>
      <c r="AW18" s="946">
        <f>IF(ISNUMBER((Datos!Q18-Datos!R18)/(Datos!S18-Datos!Q18+Datos!R18)),(Datos!Q18-Datos!R18)/(Datos!S18-Datos!Q18+Datos!R18)," - ")</f>
        <v>-0.14190513524108192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150</v>
      </c>
      <c r="G19" s="951">
        <f t="shared" si="4"/>
        <v>150</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44</v>
      </c>
      <c r="AC19" s="957">
        <f t="shared" si="5"/>
        <v>0</v>
      </c>
      <c r="AD19" s="957">
        <f t="shared" si="5"/>
        <v>0</v>
      </c>
      <c r="AE19" s="957">
        <f t="shared" si="5"/>
        <v>0</v>
      </c>
      <c r="AF19" s="958">
        <f t="shared" si="5"/>
        <v>157</v>
      </c>
      <c r="AG19" s="958">
        <f t="shared" si="5"/>
        <v>0</v>
      </c>
      <c r="AH19" s="958">
        <f t="shared" si="5"/>
        <v>0</v>
      </c>
      <c r="AI19" s="958">
        <f t="shared" si="5"/>
        <v>0</v>
      </c>
      <c r="AJ19" s="959">
        <f t="shared" si="5"/>
        <v>0</v>
      </c>
      <c r="AK19" s="959">
        <f t="shared" si="5"/>
        <v>0</v>
      </c>
      <c r="AL19" s="951">
        <f t="shared" si="5"/>
        <v>25</v>
      </c>
      <c r="AM19" s="951">
        <f t="shared" si="5"/>
        <v>13</v>
      </c>
      <c r="AN19" s="951">
        <f t="shared" si="5"/>
        <v>0</v>
      </c>
      <c r="AO19" s="951">
        <f t="shared" si="5"/>
        <v>0</v>
      </c>
      <c r="AP19" s="951">
        <f>IF(ISNUMBER(((Datos!L19/Datos!K19)*11)/factor_trimestre),((Datos!L19/Datos!K19)*11)/factor_trimestre," - ")</f>
        <v>3.8153172866520788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2.6370217166494313E-2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2.4494897427831779</v>
      </c>
      <c r="F21" s="736">
        <f>IF(ISNUMBER(STDEV(F8:F18)),STDEV(F8:F18),"-")</f>
        <v>86.602540378443862</v>
      </c>
      <c r="G21" s="737">
        <f>IF(ISNUMBER(STDEV(G8:G18)),STDEV(G8:G18),"-")</f>
        <v>86.602540378443862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25.40341184434353</v>
      </c>
      <c r="AC21" s="738">
        <f>IF(ISNUMBER(STDEV(AC8:AC18)),STDEV(AC8:AC18),"-")</f>
        <v>0</v>
      </c>
      <c r="AD21" s="741"/>
      <c r="AE21" s="741"/>
      <c r="AF21" s="741"/>
      <c r="AG21" s="741"/>
      <c r="AH21" s="741"/>
      <c r="AI21" s="741"/>
      <c r="AJ21" s="742">
        <f>IF(ISNUMBER(STDEV(AJ8:AJ18)),STDEV(AJ8:AJ18),"-")</f>
        <v>0</v>
      </c>
      <c r="AK21" s="744"/>
      <c r="AL21" s="736">
        <f>IF(ISNUMBER(STDEV(AL8:AL18)),STDEV(AL8:AL18),"-")</f>
        <v>14.433756729740644</v>
      </c>
      <c r="AM21" s="736"/>
      <c r="AN21" s="736">
        <f>IF(ISNUMBER(STDEV(AN8:AN18)),STDEV(AN8:AN18),"-")</f>
        <v>0</v>
      </c>
      <c r="AO21" s="742">
        <f>IF(ISNUMBER(STDEV(AO8:AO18)),STDEV(AO8:AO18),"-")</f>
        <v>0</v>
      </c>
      <c r="AP21" s="779">
        <f>IF(ISNUMBER(STDEV(AP8:AP18)),STDEV(AP8:AP18),"-")</f>
        <v>2.9020041039162865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7RYzZhIMh2z1VsJnqUMdbCXuum/qugb94qTKZJdExNc5gw29Xafr2wVzt8+EV9wX1hcJTCC2LQgUmgApg19AKA==" saltValue="NO3ZYMl9la0b+MUa4NrS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